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adership Circle Award\"/>
    </mc:Choice>
  </mc:AlternateContent>
  <bookViews>
    <workbookView xWindow="0" yWindow="0" windowWidth="28800" windowHeight="11835" firstSheet="2" activeTab="2"/>
  </bookViews>
  <sheets>
    <sheet name="as of 9-30-2014" sheetId="1" state="hidden" r:id="rId1"/>
    <sheet name="as of 9-11-2015" sheetId="2" state="hidden" r:id="rId2"/>
    <sheet name="10-20-17" sheetId="3" r:id="rId3"/>
  </sheets>
  <calcPr calcId="152511"/>
</workbook>
</file>

<file path=xl/calcChain.xml><?xml version="1.0" encoding="utf-8"?>
<calcChain xmlns="http://schemas.openxmlformats.org/spreadsheetml/2006/main">
  <c r="B7" i="3" l="1"/>
  <c r="B36" i="3"/>
  <c r="B37" i="3"/>
  <c r="B38" i="3"/>
  <c r="C6" i="3" l="1"/>
  <c r="C7" i="3"/>
  <c r="C39" i="3" l="1"/>
  <c r="D39" i="3"/>
  <c r="B39" i="3"/>
  <c r="C5" i="3" l="1"/>
  <c r="C4" i="3"/>
  <c r="AG22" i="3"/>
  <c r="AH22" i="3"/>
  <c r="AF22" i="3"/>
  <c r="B4" i="3" l="1"/>
  <c r="C29" i="3"/>
  <c r="D28" i="3"/>
  <c r="B28" i="3" s="1"/>
  <c r="D27" i="3"/>
  <c r="B27" i="3"/>
  <c r="D26" i="3"/>
  <c r="B26" i="3" s="1"/>
  <c r="B29" i="3" l="1"/>
  <c r="D29" i="3"/>
  <c r="AD22" i="3"/>
  <c r="AA22" i="3"/>
  <c r="X22" i="3"/>
  <c r="V22" i="3"/>
  <c r="U22" i="3"/>
  <c r="R22" i="3"/>
  <c r="O22" i="3"/>
  <c r="L22" i="3"/>
  <c r="T21" i="3"/>
  <c r="D21" i="3"/>
  <c r="C21" i="3"/>
  <c r="B21" i="3" s="1"/>
  <c r="T20" i="3"/>
  <c r="D20" i="3"/>
  <c r="C20" i="3"/>
  <c r="T19" i="3"/>
  <c r="S19" i="3"/>
  <c r="D19" i="3" s="1"/>
  <c r="C19" i="3"/>
  <c r="T18" i="3"/>
  <c r="S18" i="3"/>
  <c r="D18" i="3" s="1"/>
  <c r="C18" i="3"/>
  <c r="T17" i="3"/>
  <c r="S17" i="3"/>
  <c r="D17" i="3" s="1"/>
  <c r="C17" i="3"/>
  <c r="AE16" i="3"/>
  <c r="AC16" i="3" s="1"/>
  <c r="T16" i="3"/>
  <c r="S16" i="3"/>
  <c r="Q16" i="3" s="1"/>
  <c r="C16" i="3"/>
  <c r="AE15" i="3"/>
  <c r="AC15" i="3" s="1"/>
  <c r="T15" i="3"/>
  <c r="S15" i="3"/>
  <c r="Q15" i="3"/>
  <c r="C15" i="3"/>
  <c r="AE14" i="3"/>
  <c r="AC14" i="3" s="1"/>
  <c r="AB14" i="3"/>
  <c r="Z14" i="3" s="1"/>
  <c r="T14" i="3"/>
  <c r="S14" i="3"/>
  <c r="Q14" i="3" s="1"/>
  <c r="C14" i="3"/>
  <c r="AE13" i="3"/>
  <c r="AC13" i="3" s="1"/>
  <c r="AB13" i="3"/>
  <c r="Z13" i="3" s="1"/>
  <c r="T13" i="3"/>
  <c r="S13" i="3"/>
  <c r="Q13" i="3" s="1"/>
  <c r="C13" i="3"/>
  <c r="AE12" i="3"/>
  <c r="AC12" i="3" s="1"/>
  <c r="AB12" i="3"/>
  <c r="Z12" i="3" s="1"/>
  <c r="Y12" i="3"/>
  <c r="W12" i="3" s="1"/>
  <c r="T12" i="3"/>
  <c r="S12" i="3"/>
  <c r="Q12" i="3" s="1"/>
  <c r="C12" i="3"/>
  <c r="AE11" i="3"/>
  <c r="AC11" i="3" s="1"/>
  <c r="AB11" i="3"/>
  <c r="Z11" i="3" s="1"/>
  <c r="Y11" i="3"/>
  <c r="W11" i="3" s="1"/>
  <c r="T11" i="3"/>
  <c r="S11" i="3"/>
  <c r="C11" i="3"/>
  <c r="C22" i="3" s="1"/>
  <c r="AE10" i="3"/>
  <c r="AC10" i="3" s="1"/>
  <c r="AB10" i="3"/>
  <c r="Z10" i="3" s="1"/>
  <c r="Y10" i="3"/>
  <c r="W10" i="3" s="1"/>
  <c r="T10" i="3"/>
  <c r="S10" i="3"/>
  <c r="Q10" i="3" s="1"/>
  <c r="C10" i="3"/>
  <c r="AE9" i="3"/>
  <c r="AC9" i="3" s="1"/>
  <c r="AB9" i="3"/>
  <c r="Z9" i="3" s="1"/>
  <c r="W9" i="3"/>
  <c r="T9" i="3"/>
  <c r="S9" i="3"/>
  <c r="Q9" i="3" s="1"/>
  <c r="D9" i="3"/>
  <c r="C9" i="3"/>
  <c r="AE8" i="3"/>
  <c r="AC8" i="3" s="1"/>
  <c r="AB8" i="3"/>
  <c r="Z8" i="3" s="1"/>
  <c r="Y8" i="3"/>
  <c r="W8" i="3"/>
  <c r="T8" i="3"/>
  <c r="S8" i="3"/>
  <c r="Q8" i="3" s="1"/>
  <c r="P8" i="3"/>
  <c r="N8" i="3" s="1"/>
  <c r="C8" i="3"/>
  <c r="AE7" i="3"/>
  <c r="AC7" i="3" s="1"/>
  <c r="AB7" i="3"/>
  <c r="Z7" i="3" s="1"/>
  <c r="Y7" i="3"/>
  <c r="W7" i="3" s="1"/>
  <c r="T7" i="3"/>
  <c r="S7" i="3"/>
  <c r="P7" i="3"/>
  <c r="N7" i="3" s="1"/>
  <c r="AE6" i="3"/>
  <c r="AC6" i="3"/>
  <c r="AB6" i="3"/>
  <c r="Z6" i="3" s="1"/>
  <c r="Y6" i="3"/>
  <c r="W6" i="3" s="1"/>
  <c r="T6" i="3"/>
  <c r="S6" i="3"/>
  <c r="Q6" i="3" s="1"/>
  <c r="P6" i="3"/>
  <c r="N6" i="3" s="1"/>
  <c r="AE5" i="3"/>
  <c r="AC5" i="3" s="1"/>
  <c r="AB5" i="3"/>
  <c r="Z5" i="3"/>
  <c r="Y5" i="3"/>
  <c r="W5" i="3" s="1"/>
  <c r="T5" i="3"/>
  <c r="S5" i="3"/>
  <c r="Q5" i="3" s="1"/>
  <c r="P5" i="3"/>
  <c r="N5" i="3" s="1"/>
  <c r="AE4" i="3"/>
  <c r="AC4" i="3" s="1"/>
  <c r="AB4" i="3"/>
  <c r="W4" i="3"/>
  <c r="T4" i="3"/>
  <c r="S4" i="3"/>
  <c r="P4" i="3"/>
  <c r="N4" i="3" s="1"/>
  <c r="M4" i="3"/>
  <c r="K4" i="3" s="1"/>
  <c r="K22" i="3" s="1"/>
  <c r="B17" i="3" l="1"/>
  <c r="B20" i="3"/>
  <c r="S22" i="3"/>
  <c r="B19" i="3"/>
  <c r="D11" i="3"/>
  <c r="B11" i="3" s="1"/>
  <c r="B18" i="3"/>
  <c r="AB22" i="3"/>
  <c r="D5" i="3"/>
  <c r="B5" i="3" s="1"/>
  <c r="Q18" i="3"/>
  <c r="Q19" i="3"/>
  <c r="T22" i="3"/>
  <c r="D10" i="3"/>
  <c r="B10" i="3" s="1"/>
  <c r="D4" i="3"/>
  <c r="AE22" i="3"/>
  <c r="D7" i="3"/>
  <c r="D13" i="3"/>
  <c r="D15" i="3"/>
  <c r="M22" i="3"/>
  <c r="B9" i="3"/>
  <c r="P22" i="3"/>
  <c r="Q4" i="3"/>
  <c r="Z4" i="3"/>
  <c r="Z22" i="3" s="1"/>
  <c r="Q11" i="3"/>
  <c r="D12" i="3"/>
  <c r="D16" i="3"/>
  <c r="Q17" i="3"/>
  <c r="W22" i="3"/>
  <c r="B13" i="3"/>
  <c r="B15" i="3"/>
  <c r="N22" i="3"/>
  <c r="AC22" i="3"/>
  <c r="B12" i="3"/>
  <c r="B16" i="3"/>
  <c r="Y22" i="3"/>
  <c r="D6" i="3"/>
  <c r="B6" i="3" s="1"/>
  <c r="D8" i="3"/>
  <c r="B8" i="3" s="1"/>
  <c r="Q7" i="3"/>
  <c r="Q22" i="3" s="1"/>
  <c r="D14" i="3"/>
  <c r="B14" i="3" s="1"/>
  <c r="AC46" i="2"/>
  <c r="AC47" i="2"/>
  <c r="AC48" i="2"/>
  <c r="AC49" i="2"/>
  <c r="AC50" i="2"/>
  <c r="AC38" i="2"/>
  <c r="Z38" i="2"/>
  <c r="T38" i="2"/>
  <c r="S38" i="2"/>
  <c r="B22" i="3" l="1"/>
  <c r="D22" i="3"/>
  <c r="D56" i="2"/>
  <c r="C39" i="2"/>
  <c r="B39" i="2" s="1"/>
  <c r="D39" i="2"/>
  <c r="C40" i="2"/>
  <c r="B40" i="2" s="1"/>
  <c r="D40" i="2"/>
  <c r="B41" i="2"/>
  <c r="C41" i="2"/>
  <c r="D41" i="2"/>
  <c r="B42" i="2"/>
  <c r="C42" i="2"/>
  <c r="D42" i="2"/>
  <c r="C43" i="2"/>
  <c r="B43" i="2" s="1"/>
  <c r="D43" i="2"/>
  <c r="C44" i="2"/>
  <c r="D44" i="2"/>
  <c r="B44" i="2" s="1"/>
  <c r="C45" i="2"/>
  <c r="B45" i="2" s="1"/>
  <c r="D45" i="2"/>
  <c r="C46" i="2"/>
  <c r="B46" i="2" s="1"/>
  <c r="D46" i="2"/>
  <c r="C47" i="2"/>
  <c r="B47" i="2" s="1"/>
  <c r="D47" i="2"/>
  <c r="C48" i="2"/>
  <c r="B48" i="2" s="1"/>
  <c r="B56" i="2" s="1"/>
  <c r="D48" i="2"/>
  <c r="B49" i="2"/>
  <c r="C49" i="2"/>
  <c r="D49" i="2"/>
  <c r="B50" i="2"/>
  <c r="C50" i="2"/>
  <c r="D50" i="2"/>
  <c r="C51" i="2"/>
  <c r="B51" i="2" s="1"/>
  <c r="D51" i="2"/>
  <c r="B52" i="2"/>
  <c r="C52" i="2"/>
  <c r="D52" i="2"/>
  <c r="C53" i="2"/>
  <c r="B53" i="2" s="1"/>
  <c r="D53" i="2"/>
  <c r="C54" i="2"/>
  <c r="B54" i="2" s="1"/>
  <c r="D54" i="2"/>
  <c r="C55" i="2"/>
  <c r="B55" i="2" s="1"/>
  <c r="D55" i="2"/>
  <c r="D38" i="2"/>
  <c r="B38" i="2" s="1"/>
  <c r="C38" i="2"/>
  <c r="AD56" i="2"/>
  <c r="AA56" i="2"/>
  <c r="X56" i="2"/>
  <c r="V56" i="2"/>
  <c r="U56" i="2"/>
  <c r="R56" i="2"/>
  <c r="T55" i="2"/>
  <c r="T54" i="2"/>
  <c r="T53" i="2"/>
  <c r="S53" i="2"/>
  <c r="Q53" i="2"/>
  <c r="T52" i="2"/>
  <c r="S52" i="2"/>
  <c r="Q52" i="2"/>
  <c r="T51" i="2"/>
  <c r="S51" i="2"/>
  <c r="Q51" i="2" s="1"/>
  <c r="AE50" i="2"/>
  <c r="T50" i="2"/>
  <c r="S50" i="2"/>
  <c r="Q50" i="2"/>
  <c r="AE49" i="2"/>
  <c r="T49" i="2"/>
  <c r="S49" i="2"/>
  <c r="Q49" i="2" s="1"/>
  <c r="AE48" i="2"/>
  <c r="AB48" i="2"/>
  <c r="Z48" i="2" s="1"/>
  <c r="T48" i="2"/>
  <c r="S48" i="2"/>
  <c r="Q48" i="2"/>
  <c r="AE47" i="2"/>
  <c r="AB47" i="2"/>
  <c r="Z47" i="2" s="1"/>
  <c r="T47" i="2"/>
  <c r="S47" i="2"/>
  <c r="Q47" i="2" s="1"/>
  <c r="AE46" i="2"/>
  <c r="AB46" i="2"/>
  <c r="Z46" i="2"/>
  <c r="Y46" i="2"/>
  <c r="W46" i="2"/>
  <c r="T46" i="2"/>
  <c r="S46" i="2"/>
  <c r="Q46" i="2"/>
  <c r="AE45" i="2"/>
  <c r="AC45" i="2" s="1"/>
  <c r="AB45" i="2"/>
  <c r="Z45" i="2" s="1"/>
  <c r="Y45" i="2"/>
  <c r="W45" i="2" s="1"/>
  <c r="T45" i="2"/>
  <c r="S45" i="2"/>
  <c r="Q45" i="2" s="1"/>
  <c r="AE44" i="2"/>
  <c r="AC44" i="2"/>
  <c r="AB44" i="2"/>
  <c r="Z44" i="2"/>
  <c r="Y44" i="2"/>
  <c r="W44" i="2"/>
  <c r="T44" i="2"/>
  <c r="S44" i="2"/>
  <c r="Q44" i="2" s="1"/>
  <c r="AE43" i="2"/>
  <c r="AC43" i="2" s="1"/>
  <c r="AB43" i="2"/>
  <c r="Z43" i="2"/>
  <c r="W43" i="2"/>
  <c r="T43" i="2"/>
  <c r="S43" i="2"/>
  <c r="Q43" i="2" s="1"/>
  <c r="AE42" i="2"/>
  <c r="AC42" i="2" s="1"/>
  <c r="AB42" i="2"/>
  <c r="Z42" i="2"/>
  <c r="Y42" i="2"/>
  <c r="W42" i="2"/>
  <c r="T42" i="2"/>
  <c r="S42" i="2"/>
  <c r="Q42" i="2"/>
  <c r="AE41" i="2"/>
  <c r="AC41" i="2" s="1"/>
  <c r="AB41" i="2"/>
  <c r="Z41" i="2"/>
  <c r="Y41" i="2"/>
  <c r="W41" i="2"/>
  <c r="T41" i="2"/>
  <c r="S41" i="2"/>
  <c r="Q41" i="2" s="1"/>
  <c r="AE40" i="2"/>
  <c r="AC40" i="2" s="1"/>
  <c r="AB40" i="2"/>
  <c r="Z40" i="2"/>
  <c r="Y40" i="2"/>
  <c r="W40" i="2" s="1"/>
  <c r="T40" i="2"/>
  <c r="S40" i="2"/>
  <c r="Q40" i="2"/>
  <c r="AE39" i="2"/>
  <c r="AC39" i="2" s="1"/>
  <c r="AB39" i="2"/>
  <c r="Z39" i="2"/>
  <c r="Y39" i="2"/>
  <c r="Y56" i="2" s="1"/>
  <c r="W39" i="2"/>
  <c r="T39" i="2"/>
  <c r="S39" i="2"/>
  <c r="Q39" i="2"/>
  <c r="AE38" i="2"/>
  <c r="AB38" i="2"/>
  <c r="W38" i="2"/>
  <c r="Q38" i="2"/>
  <c r="M38" i="2"/>
  <c r="K38" i="2" s="1"/>
  <c r="P42" i="2"/>
  <c r="N42" i="2" s="1"/>
  <c r="P41" i="2"/>
  <c r="N41" i="2" s="1"/>
  <c r="P40" i="2"/>
  <c r="P39" i="2"/>
  <c r="N39" i="2" s="1"/>
  <c r="P38" i="2"/>
  <c r="N38" i="2" s="1"/>
  <c r="O56" i="2"/>
  <c r="N40" i="2"/>
  <c r="L56" i="2"/>
  <c r="M56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4" i="2"/>
  <c r="D22" i="2"/>
  <c r="D23" i="2"/>
  <c r="C56" i="2" l="1"/>
  <c r="T56" i="2"/>
  <c r="Q56" i="2"/>
  <c r="AE56" i="2"/>
  <c r="AB56" i="2"/>
  <c r="P56" i="2"/>
  <c r="W56" i="2"/>
  <c r="AC56" i="2"/>
  <c r="Z56" i="2"/>
  <c r="S56" i="2"/>
  <c r="N56" i="2"/>
  <c r="K56" i="2"/>
  <c r="B23" i="2" l="1"/>
  <c r="B22" i="2"/>
  <c r="Y13" i="2"/>
  <c r="Y14" i="2"/>
  <c r="Y12" i="2"/>
  <c r="Y10" i="2"/>
  <c r="Y9" i="2"/>
  <c r="Y8" i="2"/>
  <c r="Y7" i="2"/>
  <c r="Y5" i="2"/>
  <c r="Y4" i="2"/>
  <c r="C24" i="2" l="1"/>
  <c r="Y24" i="2"/>
  <c r="X24" i="2"/>
  <c r="W14" i="2"/>
  <c r="W13" i="2"/>
  <c r="W12" i="2"/>
  <c r="W11" i="2"/>
  <c r="W10" i="2"/>
  <c r="W9" i="2"/>
  <c r="W8" i="2"/>
  <c r="W7" i="2"/>
  <c r="W6" i="2"/>
  <c r="W5" i="2"/>
  <c r="W4" i="2"/>
  <c r="V24" i="2"/>
  <c r="T23" i="2"/>
  <c r="T22" i="2"/>
  <c r="T21" i="2"/>
  <c r="T20" i="2"/>
  <c r="T19" i="2"/>
  <c r="T18" i="2"/>
  <c r="T17" i="2"/>
  <c r="T16" i="2"/>
  <c r="T15" i="2"/>
  <c r="U24" i="2"/>
  <c r="T4" i="2"/>
  <c r="T5" i="2"/>
  <c r="T6" i="2"/>
  <c r="T7" i="2"/>
  <c r="T8" i="2"/>
  <c r="T9" i="2"/>
  <c r="T10" i="2"/>
  <c r="T11" i="2"/>
  <c r="T12" i="2"/>
  <c r="T13" i="2"/>
  <c r="T14" i="2"/>
  <c r="E4" i="2"/>
  <c r="T24" i="2" l="1"/>
  <c r="W24" i="2"/>
  <c r="R24" i="2" l="1"/>
  <c r="O24" i="2"/>
  <c r="L24" i="2"/>
  <c r="I24" i="2"/>
  <c r="F24" i="2"/>
  <c r="S21" i="2"/>
  <c r="S20" i="2"/>
  <c r="S19" i="2"/>
  <c r="S18" i="2"/>
  <c r="Q18" i="2"/>
  <c r="P18" i="2"/>
  <c r="S17" i="2"/>
  <c r="Q17" i="2"/>
  <c r="P17" i="2"/>
  <c r="S16" i="2"/>
  <c r="Q16" i="2" s="1"/>
  <c r="P16" i="2"/>
  <c r="N16" i="2" s="1"/>
  <c r="M16" i="2"/>
  <c r="S15" i="2"/>
  <c r="Q15" i="2" s="1"/>
  <c r="P15" i="2"/>
  <c r="M15" i="2"/>
  <c r="K15" i="2"/>
  <c r="S14" i="2"/>
  <c r="Q14" i="2" s="1"/>
  <c r="P14" i="2"/>
  <c r="N14" i="2" s="1"/>
  <c r="M14" i="2"/>
  <c r="S13" i="2"/>
  <c r="Q13" i="2" s="1"/>
  <c r="P13" i="2"/>
  <c r="N13" i="2" s="1"/>
  <c r="M13" i="2"/>
  <c r="S12" i="2"/>
  <c r="Q12" i="2" s="1"/>
  <c r="P12" i="2"/>
  <c r="M12" i="2"/>
  <c r="D12" i="2" s="1"/>
  <c r="S11" i="2"/>
  <c r="Q11" i="2" s="1"/>
  <c r="P11" i="2"/>
  <c r="N11" i="2" s="1"/>
  <c r="M11" i="2"/>
  <c r="S10" i="2"/>
  <c r="Q10" i="2" s="1"/>
  <c r="P10" i="2"/>
  <c r="N10" i="2" s="1"/>
  <c r="M10" i="2"/>
  <c r="D10" i="2" s="1"/>
  <c r="S9" i="2"/>
  <c r="Q9" i="2" s="1"/>
  <c r="P9" i="2"/>
  <c r="N9" i="2"/>
  <c r="M9" i="2"/>
  <c r="S8" i="2"/>
  <c r="Q8" i="2" s="1"/>
  <c r="P8" i="2"/>
  <c r="N8" i="2" s="1"/>
  <c r="M8" i="2"/>
  <c r="D8" i="2" s="1"/>
  <c r="S7" i="2"/>
  <c r="Q7" i="2" s="1"/>
  <c r="P7" i="2"/>
  <c r="N7" i="2" s="1"/>
  <c r="M7" i="2"/>
  <c r="K7" i="2"/>
  <c r="S6" i="2"/>
  <c r="Q6" i="2" s="1"/>
  <c r="P6" i="2"/>
  <c r="N6" i="2" s="1"/>
  <c r="M6" i="2"/>
  <c r="D6" i="2" s="1"/>
  <c r="S5" i="2"/>
  <c r="Q5" i="2" s="1"/>
  <c r="P5" i="2"/>
  <c r="N5" i="2" s="1"/>
  <c r="M5" i="2"/>
  <c r="H5" i="2"/>
  <c r="S4" i="2"/>
  <c r="Q4" i="2" s="1"/>
  <c r="P4" i="2"/>
  <c r="N4" i="2" s="1"/>
  <c r="M4" i="2"/>
  <c r="D4" i="2" s="1"/>
  <c r="H4" i="2"/>
  <c r="D19" i="2" l="1"/>
  <c r="B19" i="2" s="1"/>
  <c r="D20" i="2"/>
  <c r="B20" i="2" s="1"/>
  <c r="D17" i="2"/>
  <c r="B17" i="2" s="1"/>
  <c r="D21" i="2"/>
  <c r="B21" i="2" s="1"/>
  <c r="D13" i="2"/>
  <c r="B13" i="2" s="1"/>
  <c r="D15" i="2"/>
  <c r="B15" i="2" s="1"/>
  <c r="D11" i="2"/>
  <c r="B11" i="2" s="1"/>
  <c r="D9" i="2"/>
  <c r="B9" i="2" s="1"/>
  <c r="D18" i="2"/>
  <c r="B18" i="2" s="1"/>
  <c r="D5" i="2"/>
  <c r="B5" i="2" s="1"/>
  <c r="D7" i="2"/>
  <c r="B7" i="2" s="1"/>
  <c r="D14" i="2"/>
  <c r="B14" i="2" s="1"/>
  <c r="D16" i="2"/>
  <c r="B16" i="2" s="1"/>
  <c r="K10" i="2"/>
  <c r="B10" i="2"/>
  <c r="K13" i="2"/>
  <c r="K14" i="2"/>
  <c r="K6" i="2"/>
  <c r="B6" i="2"/>
  <c r="K8" i="2"/>
  <c r="B8" i="2"/>
  <c r="K4" i="2"/>
  <c r="K5" i="2"/>
  <c r="K9" i="2"/>
  <c r="K12" i="2"/>
  <c r="B12" i="2"/>
  <c r="Q19" i="2"/>
  <c r="S24" i="2"/>
  <c r="N18" i="2"/>
  <c r="Q21" i="2"/>
  <c r="K16" i="2"/>
  <c r="N17" i="2"/>
  <c r="Q20" i="2"/>
  <c r="M24" i="2"/>
  <c r="P24" i="2"/>
  <c r="G24" i="2"/>
  <c r="N12" i="2"/>
  <c r="J24" i="2"/>
  <c r="H24" i="2"/>
  <c r="K11" i="2"/>
  <c r="N15" i="2"/>
  <c r="D18" i="1"/>
  <c r="D17" i="1"/>
  <c r="B17" i="1" s="1"/>
  <c r="D16" i="1"/>
  <c r="B16" i="1" s="1"/>
  <c r="D8" i="1"/>
  <c r="B8" i="1" s="1"/>
  <c r="C22" i="1"/>
  <c r="C21" i="1"/>
  <c r="B21" i="1" s="1"/>
  <c r="C20" i="1"/>
  <c r="C19" i="1"/>
  <c r="C18" i="1"/>
  <c r="B18" i="1" s="1"/>
  <c r="C17" i="1"/>
  <c r="C16" i="1"/>
  <c r="C15" i="1"/>
  <c r="C14" i="1"/>
  <c r="C13" i="1"/>
  <c r="B13" i="1" s="1"/>
  <c r="C12" i="1"/>
  <c r="C11" i="1"/>
  <c r="C10" i="1"/>
  <c r="B10" i="1" s="1"/>
  <c r="C9" i="1"/>
  <c r="C8" i="1"/>
  <c r="C7" i="1"/>
  <c r="C6" i="1"/>
  <c r="C5" i="1"/>
  <c r="B5" i="1" s="1"/>
  <c r="C4" i="1"/>
  <c r="H15" i="1"/>
  <c r="H12" i="1"/>
  <c r="E12" i="1"/>
  <c r="E11" i="1"/>
  <c r="E10" i="1"/>
  <c r="E4" i="1"/>
  <c r="G14" i="1"/>
  <c r="D14" i="1" s="1"/>
  <c r="B14" i="1" s="1"/>
  <c r="G13" i="1"/>
  <c r="D13" i="1" s="1"/>
  <c r="G12" i="1"/>
  <c r="D12" i="1" s="1"/>
  <c r="G11" i="1"/>
  <c r="G10" i="1"/>
  <c r="G9" i="1"/>
  <c r="E9" i="1" s="1"/>
  <c r="G8" i="1"/>
  <c r="E8" i="1" s="1"/>
  <c r="G7" i="1"/>
  <c r="D7" i="1" s="1"/>
  <c r="B7" i="1" s="1"/>
  <c r="G6" i="1"/>
  <c r="D6" i="1" s="1"/>
  <c r="B6" i="1" s="1"/>
  <c r="G5" i="1"/>
  <c r="D5" i="1" s="1"/>
  <c r="G4" i="1"/>
  <c r="D4" i="1" s="1"/>
  <c r="Q18" i="1"/>
  <c r="Q13" i="1"/>
  <c r="Q10" i="1"/>
  <c r="Q5" i="1"/>
  <c r="S5" i="1"/>
  <c r="S19" i="1"/>
  <c r="Q19" i="1" s="1"/>
  <c r="S18" i="1"/>
  <c r="S17" i="1"/>
  <c r="Q17" i="1" s="1"/>
  <c r="S16" i="1"/>
  <c r="Q16" i="1" s="1"/>
  <c r="S15" i="1"/>
  <c r="Q15" i="1" s="1"/>
  <c r="S14" i="1"/>
  <c r="Q14" i="1" s="1"/>
  <c r="S13" i="1"/>
  <c r="S12" i="1"/>
  <c r="Q12" i="1" s="1"/>
  <c r="S11" i="1"/>
  <c r="Q11" i="1" s="1"/>
  <c r="S10" i="1"/>
  <c r="S9" i="1"/>
  <c r="Q9" i="1" s="1"/>
  <c r="S8" i="1"/>
  <c r="Q8" i="1" s="1"/>
  <c r="S7" i="1"/>
  <c r="Q7" i="1" s="1"/>
  <c r="S6" i="1"/>
  <c r="Q6" i="1" s="1"/>
  <c r="S4" i="1"/>
  <c r="Q4" i="1" s="1"/>
  <c r="T18" i="1"/>
  <c r="T17" i="1"/>
  <c r="T16" i="1"/>
  <c r="T10" i="1"/>
  <c r="T9" i="1"/>
  <c r="T8" i="1"/>
  <c r="V22" i="1"/>
  <c r="D22" i="1" s="1"/>
  <c r="B22" i="1" s="1"/>
  <c r="V21" i="1"/>
  <c r="D21" i="1" s="1"/>
  <c r="V20" i="1"/>
  <c r="D20" i="1" s="1"/>
  <c r="V19" i="1"/>
  <c r="T19" i="1" s="1"/>
  <c r="V18" i="1"/>
  <c r="V17" i="1"/>
  <c r="V16" i="1"/>
  <c r="V15" i="1"/>
  <c r="T15" i="1" s="1"/>
  <c r="V14" i="1"/>
  <c r="T14" i="1" s="1"/>
  <c r="V13" i="1"/>
  <c r="T13" i="1" s="1"/>
  <c r="V12" i="1"/>
  <c r="T12" i="1" s="1"/>
  <c r="V11" i="1"/>
  <c r="T11" i="1" s="1"/>
  <c r="V10" i="1"/>
  <c r="V9" i="1"/>
  <c r="V8" i="1"/>
  <c r="V7" i="1"/>
  <c r="T7" i="1" s="1"/>
  <c r="V6" i="1"/>
  <c r="T6" i="1" s="1"/>
  <c r="V5" i="1"/>
  <c r="T5" i="1" s="1"/>
  <c r="V4" i="1"/>
  <c r="T4" i="1" s="1"/>
  <c r="J9" i="1"/>
  <c r="D9" i="1" s="1"/>
  <c r="B9" i="1" s="1"/>
  <c r="J15" i="1"/>
  <c r="D15" i="1" s="1"/>
  <c r="B15" i="1" s="1"/>
  <c r="J14" i="1"/>
  <c r="H14" i="1" s="1"/>
  <c r="J13" i="1"/>
  <c r="H13" i="1" s="1"/>
  <c r="J12" i="1"/>
  <c r="J11" i="1"/>
  <c r="H11" i="1" s="1"/>
  <c r="J10" i="1"/>
  <c r="D10" i="1" s="1"/>
  <c r="J8" i="1"/>
  <c r="H8" i="1" s="1"/>
  <c r="J7" i="1"/>
  <c r="H7" i="1" s="1"/>
  <c r="J6" i="1"/>
  <c r="H6" i="1" s="1"/>
  <c r="J5" i="1"/>
  <c r="H5" i="1" s="1"/>
  <c r="J4" i="1"/>
  <c r="H4" i="1" s="1"/>
  <c r="K16" i="1"/>
  <c r="K15" i="1"/>
  <c r="K14" i="1"/>
  <c r="K13" i="1"/>
  <c r="K12" i="1"/>
  <c r="K8" i="1"/>
  <c r="K7" i="1"/>
  <c r="K6" i="1"/>
  <c r="K5" i="1"/>
  <c r="K4" i="1"/>
  <c r="M16" i="1"/>
  <c r="M15" i="1"/>
  <c r="M14" i="1"/>
  <c r="M13" i="1"/>
  <c r="M12" i="1"/>
  <c r="M11" i="1"/>
  <c r="K11" i="1" s="1"/>
  <c r="M10" i="1"/>
  <c r="K10" i="1" s="1"/>
  <c r="M9" i="1"/>
  <c r="K9" i="1" s="1"/>
  <c r="M8" i="1"/>
  <c r="M7" i="1"/>
  <c r="M6" i="1"/>
  <c r="M5" i="1"/>
  <c r="M4" i="1"/>
  <c r="N17" i="1"/>
  <c r="N16" i="1"/>
  <c r="N15" i="1"/>
  <c r="N12" i="1"/>
  <c r="N10" i="1"/>
  <c r="N9" i="1"/>
  <c r="N8" i="1"/>
  <c r="N7" i="1"/>
  <c r="N4" i="1"/>
  <c r="P17" i="1"/>
  <c r="P16" i="1"/>
  <c r="P15" i="1"/>
  <c r="P14" i="1"/>
  <c r="N14" i="1" s="1"/>
  <c r="P13" i="1"/>
  <c r="N13" i="1" s="1"/>
  <c r="P12" i="1"/>
  <c r="P11" i="1"/>
  <c r="N11" i="1" s="1"/>
  <c r="P10" i="1"/>
  <c r="P9" i="1"/>
  <c r="P8" i="1"/>
  <c r="P7" i="1"/>
  <c r="P6" i="1"/>
  <c r="N6" i="1" s="1"/>
  <c r="P5" i="1"/>
  <c r="N5" i="1" s="1"/>
  <c r="P4" i="1"/>
  <c r="U23" i="1"/>
  <c r="R23" i="1"/>
  <c r="O23" i="1"/>
  <c r="L23" i="1"/>
  <c r="I23" i="1"/>
  <c r="F23" i="1"/>
  <c r="B12" i="1" l="1"/>
  <c r="B20" i="1"/>
  <c r="G23" i="1"/>
  <c r="B4" i="1"/>
  <c r="H9" i="1"/>
  <c r="H23" i="1" s="1"/>
  <c r="E5" i="1"/>
  <c r="E13" i="1"/>
  <c r="H10" i="1"/>
  <c r="D11" i="1"/>
  <c r="B11" i="1" s="1"/>
  <c r="D19" i="1"/>
  <c r="B19" i="1" s="1"/>
  <c r="Q24" i="2"/>
  <c r="T20" i="1"/>
  <c r="E6" i="1"/>
  <c r="E14" i="1"/>
  <c r="K23" i="1"/>
  <c r="C23" i="1"/>
  <c r="C25" i="1" s="1"/>
  <c r="C27" i="1" s="1"/>
  <c r="T21" i="1"/>
  <c r="T22" i="1"/>
  <c r="T23" i="1" s="1"/>
  <c r="E7" i="1"/>
  <c r="E23" i="1" s="1"/>
  <c r="B4" i="2"/>
  <c r="B24" i="2" s="1"/>
  <c r="D24" i="2"/>
  <c r="N24" i="2"/>
  <c r="E24" i="2"/>
  <c r="K24" i="2"/>
  <c r="S23" i="1"/>
  <c r="V23" i="1"/>
  <c r="J23" i="1"/>
  <c r="M23" i="1"/>
  <c r="N23" i="1"/>
  <c r="Q23" i="1"/>
  <c r="P23" i="1"/>
  <c r="D23" i="1" l="1"/>
  <c r="B23" i="1"/>
  <c r="B25" i="1" s="1"/>
</calcChain>
</file>

<file path=xl/sharedStrings.xml><?xml version="1.0" encoding="utf-8"?>
<sst xmlns="http://schemas.openxmlformats.org/spreadsheetml/2006/main" count="193" uniqueCount="48">
  <si>
    <t>Fiscal Year</t>
  </si>
  <si>
    <t>Total</t>
  </si>
  <si>
    <t>Principal</t>
  </si>
  <si>
    <t xml:space="preserve">Interest </t>
  </si>
  <si>
    <t>Totals</t>
  </si>
  <si>
    <t>2005 Limited Tax Refunding Bonds</t>
  </si>
  <si>
    <t>2006 General Obligation Bonds</t>
  </si>
  <si>
    <t>2007 General Obligation Bonds</t>
  </si>
  <si>
    <t>2008 General Obligation Bonds</t>
  </si>
  <si>
    <t>2010 Refunding and Improvement Bonds</t>
  </si>
  <si>
    <t>2013 Refunding and Improvement Bonds</t>
  </si>
  <si>
    <t>Original Issue - $107,480,000</t>
  </si>
  <si>
    <t>Original Issue - $82,060,000</t>
  </si>
  <si>
    <t>Original Issue - $52,510,000</t>
  </si>
  <si>
    <t>Original Issue - $72,260,000</t>
  </si>
  <si>
    <t>Original Issue - $70,045,000</t>
  </si>
  <si>
    <t>Original Issue - $39,870,000</t>
  </si>
  <si>
    <t>$25,000,000 new -term 10 years</t>
  </si>
  <si>
    <t>Original Issue - $67,075,000</t>
  </si>
  <si>
    <t xml:space="preserve">2015 Limited Tax  Refunding &amp; Imp </t>
  </si>
  <si>
    <t>2015A  Limited Tax Refunding &amp; Imp Bonds</t>
  </si>
  <si>
    <t>Orignina Issue - $82,980,000</t>
  </si>
  <si>
    <t>$40,420,000 new -term 20 yrs</t>
  </si>
  <si>
    <t>Refunding 2007 series</t>
  </si>
  <si>
    <t>Refunding 2005 &amp; 2006 ($57,980,000)</t>
  </si>
  <si>
    <t xml:space="preserve">2016 Limited Tax  Refunding </t>
  </si>
  <si>
    <t>Original Issue - $70,905,000</t>
  </si>
  <si>
    <t>2017  Limited Tax Refunding</t>
  </si>
  <si>
    <t>Orignina Issue - $36,860,000</t>
  </si>
  <si>
    <t>Refunded 2015</t>
  </si>
  <si>
    <t>Refunded 2016</t>
  </si>
  <si>
    <t>Refunded $32,455,000 in 2015</t>
  </si>
  <si>
    <t>as of 9/30/17</t>
  </si>
  <si>
    <t>$0 due</t>
  </si>
  <si>
    <t>due as of 9/30/17</t>
  </si>
  <si>
    <t>in 2018</t>
  </si>
  <si>
    <t>Refunded $65,150,000</t>
  </si>
  <si>
    <t xml:space="preserve">Original Issue - $70,045,000, Refunded </t>
  </si>
  <si>
    <t>FY17</t>
  </si>
  <si>
    <t>Original Issue - $107,480,000, Refunded $65,150,000 in 2016 Bond Issuance</t>
  </si>
  <si>
    <t>Original Issue - $70,045,000, Refunded $33,310,000 in 2017 Limited Tax Refunding Bond Issuance</t>
  </si>
  <si>
    <t>Lease Obligation Payment Schedule</t>
  </si>
  <si>
    <t>Motorola Radio Fleet Replacement Lease/Purchase</t>
  </si>
  <si>
    <t>Original Issue - $3,783,063</t>
  </si>
  <si>
    <t>2018*</t>
  </si>
  <si>
    <t>2019*</t>
  </si>
  <si>
    <t>2020*</t>
  </si>
  <si>
    <t xml:space="preserve">*Total includes Lease Purchase Debt Payments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</si>
</sst>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0" fillId="0" borderId="0" xfId="0" applyNumberFormat="1" applyBorder="1"/>
    <xf numFmtId="3" fontId="1" fillId="2" borderId="1" xfId="0" applyNumberFormat="1" applyFont="1" applyFill="1" applyBorder="1"/>
    <xf numFmtId="3" fontId="0" fillId="0" borderId="3" xfId="0" applyNumberFormat="1" applyBorder="1"/>
    <xf numFmtId="3" fontId="0" fillId="0" borderId="0" xfId="0" applyNumberFormat="1" applyFill="1" applyBorder="1"/>
    <xf numFmtId="3" fontId="0" fillId="0" borderId="0" xfId="0" applyNumberFormat="1"/>
    <xf numFmtId="38" fontId="0" fillId="0" borderId="0" xfId="0" applyNumberFormat="1"/>
    <xf numFmtId="38" fontId="0" fillId="0" borderId="0" xfId="0" applyNumberFormat="1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3" fillId="0" borderId="0" xfId="0" applyNumberFormat="1" applyFont="1" applyBorder="1"/>
    <xf numFmtId="3" fontId="0" fillId="0" borderId="11" xfId="0" applyNumberFormat="1" applyBorder="1"/>
    <xf numFmtId="3" fontId="0" fillId="0" borderId="11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0" fillId="0" borderId="0" xfId="0" applyFill="1" applyBorder="1"/>
    <xf numFmtId="0" fontId="1" fillId="0" borderId="0" xfId="0" applyFont="1"/>
    <xf numFmtId="0" fontId="0" fillId="0" borderId="0" xfId="0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11" xfId="1" applyNumberFormat="1" applyFont="1" applyFill="1" applyBorder="1"/>
    <xf numFmtId="164" fontId="0" fillId="0" borderId="0" xfId="1" applyNumberFormat="1" applyFont="1" applyFill="1"/>
    <xf numFmtId="164" fontId="1" fillId="2" borderId="1" xfId="1" applyNumberFormat="1" applyFont="1" applyFill="1" applyBorder="1"/>
    <xf numFmtId="164" fontId="0" fillId="0" borderId="0" xfId="1" applyNumberFormat="1" applyFont="1"/>
    <xf numFmtId="164" fontId="1" fillId="0" borderId="0" xfId="1" applyNumberFormat="1" applyFont="1" applyFill="1" applyBorder="1"/>
    <xf numFmtId="164" fontId="0" fillId="0" borderId="11" xfId="1" applyNumberFormat="1" applyFont="1" applyBorder="1"/>
    <xf numFmtId="164" fontId="0" fillId="0" borderId="3" xfId="1" applyNumberFormat="1" applyFont="1" applyBorder="1"/>
    <xf numFmtId="0" fontId="0" fillId="3" borderId="8" xfId="0" applyFill="1" applyBorder="1" applyAlignment="1">
      <alignment horizontal="center"/>
    </xf>
    <xf numFmtId="164" fontId="0" fillId="3" borderId="9" xfId="0" applyNumberFormat="1" applyFill="1" applyBorder="1"/>
    <xf numFmtId="164" fontId="0" fillId="3" borderId="1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0" xfId="0" applyNumberFormat="1"/>
    <xf numFmtId="0" fontId="0" fillId="0" borderId="18" xfId="0" applyBorder="1"/>
    <xf numFmtId="0" fontId="0" fillId="0" borderId="15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1" fillId="2" borderId="20" xfId="1" applyNumberFormat="1" applyFont="1" applyFill="1" applyBorder="1"/>
    <xf numFmtId="164" fontId="1" fillId="2" borderId="21" xfId="1" applyNumberFormat="1" applyFont="1" applyFill="1" applyBorder="1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view="pageLayout" zoomScaleNormal="100" workbookViewId="0">
      <selection activeCell="L33" sqref="L33"/>
    </sheetView>
  </sheetViews>
  <sheetFormatPr defaultRowHeight="15" x14ac:dyDescent="0.25"/>
  <cols>
    <col min="1" max="1" width="12.85546875" customWidth="1"/>
    <col min="2" max="2" width="18" customWidth="1"/>
    <col min="3" max="3" width="12.5703125" customWidth="1"/>
    <col min="4" max="4" width="13.42578125" customWidth="1"/>
    <col min="5" max="5" width="15.42578125" customWidth="1"/>
    <col min="6" max="6" width="14.7109375" customWidth="1"/>
    <col min="7" max="7" width="16" customWidth="1"/>
    <col min="8" max="8" width="14.42578125" customWidth="1"/>
    <col min="9" max="9" width="13.85546875" customWidth="1"/>
    <col min="10" max="10" width="13.7109375" customWidth="1"/>
    <col min="11" max="11" width="15.5703125" customWidth="1"/>
    <col min="12" max="12" width="13.5703125" customWidth="1"/>
    <col min="13" max="13" width="14.7109375" customWidth="1"/>
    <col min="14" max="14" width="13.7109375" customWidth="1"/>
    <col min="15" max="15" width="12.85546875" customWidth="1"/>
    <col min="16" max="16" width="12.42578125" customWidth="1"/>
    <col min="17" max="17" width="14" customWidth="1"/>
    <col min="18" max="18" width="11.7109375" customWidth="1"/>
    <col min="19" max="19" width="15.85546875" customWidth="1"/>
    <col min="20" max="20" width="12.5703125" customWidth="1"/>
    <col min="21" max="21" width="12.28515625" customWidth="1"/>
    <col min="22" max="22" width="14.5703125" customWidth="1"/>
  </cols>
  <sheetData>
    <row r="1" spans="1:22" x14ac:dyDescent="0.25">
      <c r="A1" s="12"/>
      <c r="B1" s="50" t="s">
        <v>1</v>
      </c>
      <c r="C1" s="50"/>
      <c r="D1" s="50"/>
      <c r="E1" s="50" t="s">
        <v>5</v>
      </c>
      <c r="F1" s="50"/>
      <c r="G1" s="50"/>
      <c r="H1" s="50" t="s">
        <v>6</v>
      </c>
      <c r="I1" s="50"/>
      <c r="J1" s="50"/>
      <c r="K1" s="50" t="s">
        <v>7</v>
      </c>
      <c r="L1" s="50"/>
      <c r="M1" s="50"/>
      <c r="N1" s="50" t="s">
        <v>8</v>
      </c>
      <c r="O1" s="50"/>
      <c r="P1" s="50"/>
      <c r="Q1" s="50" t="s">
        <v>9</v>
      </c>
      <c r="R1" s="50"/>
      <c r="S1" s="50"/>
      <c r="T1" s="50" t="s">
        <v>10</v>
      </c>
      <c r="U1" s="50"/>
      <c r="V1" s="51"/>
    </row>
    <row r="2" spans="1:22" ht="15.75" thickBot="1" x14ac:dyDescent="0.3">
      <c r="A2" s="13"/>
      <c r="B2" s="14"/>
      <c r="C2" s="14"/>
      <c r="D2" s="14"/>
      <c r="E2" s="52" t="s">
        <v>16</v>
      </c>
      <c r="F2" s="52"/>
      <c r="G2" s="52"/>
      <c r="H2" s="52" t="s">
        <v>12</v>
      </c>
      <c r="I2" s="52"/>
      <c r="J2" s="52"/>
      <c r="K2" s="52" t="s">
        <v>13</v>
      </c>
      <c r="L2" s="52"/>
      <c r="M2" s="52"/>
      <c r="N2" s="52" t="s">
        <v>11</v>
      </c>
      <c r="O2" s="52"/>
      <c r="P2" s="52"/>
      <c r="Q2" s="52" t="s">
        <v>15</v>
      </c>
      <c r="R2" s="52"/>
      <c r="S2" s="52"/>
      <c r="T2" s="52" t="s">
        <v>14</v>
      </c>
      <c r="U2" s="52"/>
      <c r="V2" s="53"/>
    </row>
    <row r="3" spans="1:22" x14ac:dyDescent="0.25">
      <c r="A3" s="1" t="s">
        <v>0</v>
      </c>
      <c r="B3" s="2" t="s">
        <v>1</v>
      </c>
      <c r="C3" s="3" t="s">
        <v>2</v>
      </c>
      <c r="D3" s="2" t="s">
        <v>3</v>
      </c>
      <c r="E3" s="2" t="s">
        <v>1</v>
      </c>
      <c r="F3" s="3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4" t="s">
        <v>3</v>
      </c>
    </row>
    <row r="4" spans="1:22" x14ac:dyDescent="0.25">
      <c r="A4" s="1">
        <v>2015</v>
      </c>
      <c r="B4" s="5">
        <f>SUM(C4:D4)</f>
        <v>34281912.5</v>
      </c>
      <c r="C4" s="5">
        <f>+F4+I4+L4+O4+R4+U4</f>
        <v>18645000</v>
      </c>
      <c r="D4" s="5">
        <f>+G4+J4+M4+P4+S4+V4</f>
        <v>15636912.5</v>
      </c>
      <c r="E4" s="9">
        <f>SUM(F4:G4)</f>
        <v>2992750</v>
      </c>
      <c r="F4" s="5">
        <v>2590000</v>
      </c>
      <c r="G4" s="5">
        <f>201375*2</f>
        <v>402750</v>
      </c>
      <c r="H4" s="5">
        <f>SUM(I4:J4)</f>
        <v>6451475</v>
      </c>
      <c r="I4" s="5">
        <v>3610000</v>
      </c>
      <c r="J4" s="5">
        <f>1420737.5*2</f>
        <v>2841475</v>
      </c>
      <c r="K4" s="5">
        <f>SUM(L4:M4)</f>
        <v>4225137.5</v>
      </c>
      <c r="L4" s="5">
        <v>2210000</v>
      </c>
      <c r="M4" s="5">
        <f>1007568.75*2</f>
        <v>2015137.5</v>
      </c>
      <c r="N4" s="5">
        <f>SUM(O4:P4)</f>
        <v>8434700</v>
      </c>
      <c r="O4" s="5">
        <v>4300000</v>
      </c>
      <c r="P4" s="5">
        <f>2067350+2067350</f>
        <v>4134700</v>
      </c>
      <c r="Q4" s="5">
        <f>SUM(R4:S4)</f>
        <v>6150750</v>
      </c>
      <c r="R4" s="5">
        <v>3295000</v>
      </c>
      <c r="S4" s="5">
        <f>1427875*2</f>
        <v>2855750</v>
      </c>
      <c r="T4" s="5">
        <f>SUM(U4:V4)</f>
        <v>6027100</v>
      </c>
      <c r="U4" s="5">
        <v>2640000</v>
      </c>
      <c r="V4" s="7">
        <f>1693550*2</f>
        <v>3387100</v>
      </c>
    </row>
    <row r="5" spans="1:22" x14ac:dyDescent="0.25">
      <c r="A5" s="1">
        <v>2016</v>
      </c>
      <c r="B5" s="5">
        <f t="shared" ref="B5:B22" si="0">SUM(C5:D5)</f>
        <v>34306812.5</v>
      </c>
      <c r="C5" s="5">
        <f t="shared" ref="C5:C22" si="1">+F5+I5+L5+O5+R5+U5</f>
        <v>19490000</v>
      </c>
      <c r="D5" s="5">
        <f t="shared" ref="D5:D22" si="2">+G5+J5+M5+P5+S5+V5</f>
        <v>14816812.5</v>
      </c>
      <c r="E5" s="9">
        <f t="shared" ref="E5:E14" si="3">SUM(F5:G5)</f>
        <v>928250</v>
      </c>
      <c r="F5" s="5">
        <v>655000</v>
      </c>
      <c r="G5" s="5">
        <f>136625*2</f>
        <v>273250</v>
      </c>
      <c r="H5" s="5">
        <f t="shared" ref="H5:H15" si="4">SUM(I5:J5)</f>
        <v>6450975</v>
      </c>
      <c r="I5" s="5">
        <v>3790000</v>
      </c>
      <c r="J5" s="5">
        <f>1330487.5*2</f>
        <v>2660975</v>
      </c>
      <c r="K5" s="5">
        <f t="shared" ref="K5:K16" si="5">SUM(L5:M5)</f>
        <v>4224637.5</v>
      </c>
      <c r="L5" s="5">
        <v>2320000</v>
      </c>
      <c r="M5" s="5">
        <f>952318.75*2</f>
        <v>1904637.5</v>
      </c>
      <c r="N5" s="5">
        <f t="shared" ref="N5:N17" si="6">SUM(O5:P5)</f>
        <v>8434700</v>
      </c>
      <c r="O5" s="5">
        <v>4515000</v>
      </c>
      <c r="P5" s="5">
        <f>1959850*2</f>
        <v>3919700</v>
      </c>
      <c r="Q5" s="5">
        <f t="shared" ref="Q5:Q19" si="7">SUM(R5:S5)</f>
        <v>6163950</v>
      </c>
      <c r="R5" s="5">
        <v>3440000</v>
      </c>
      <c r="S5" s="5">
        <f>1361975*2</f>
        <v>2723950</v>
      </c>
      <c r="T5" s="5">
        <f t="shared" ref="T5:T22" si="8">SUM(U5:V5)</f>
        <v>8104300</v>
      </c>
      <c r="U5" s="5">
        <v>4770000</v>
      </c>
      <c r="V5" s="7">
        <f>1667150*2</f>
        <v>3334300</v>
      </c>
    </row>
    <row r="6" spans="1:22" x14ac:dyDescent="0.25">
      <c r="A6" s="1">
        <v>2017</v>
      </c>
      <c r="B6" s="5">
        <f t="shared" si="0"/>
        <v>34340012.5</v>
      </c>
      <c r="C6" s="5">
        <f t="shared" si="1"/>
        <v>20450000</v>
      </c>
      <c r="D6" s="5">
        <f t="shared" si="2"/>
        <v>13890012.5</v>
      </c>
      <c r="E6" s="9">
        <f t="shared" si="3"/>
        <v>930500</v>
      </c>
      <c r="F6" s="5">
        <v>690000</v>
      </c>
      <c r="G6" s="5">
        <f>120250*2</f>
        <v>240500</v>
      </c>
      <c r="H6" s="5">
        <f t="shared" si="4"/>
        <v>6451475</v>
      </c>
      <c r="I6" s="5">
        <v>3980000</v>
      </c>
      <c r="J6" s="5">
        <f>1235737.5*2</f>
        <v>2471475</v>
      </c>
      <c r="K6" s="5">
        <f t="shared" si="5"/>
        <v>4223637.5</v>
      </c>
      <c r="L6" s="5">
        <v>2435000</v>
      </c>
      <c r="M6" s="5">
        <f>894318.75*2</f>
        <v>1788637.5</v>
      </c>
      <c r="N6" s="5">
        <f t="shared" si="6"/>
        <v>8438950</v>
      </c>
      <c r="O6" s="5">
        <v>4745000</v>
      </c>
      <c r="P6" s="5">
        <f>1846975*2</f>
        <v>3693950</v>
      </c>
      <c r="Q6" s="5">
        <f t="shared" si="7"/>
        <v>6166950</v>
      </c>
      <c r="R6" s="5">
        <v>3615000</v>
      </c>
      <c r="S6" s="5">
        <f>1275975*2</f>
        <v>2551950</v>
      </c>
      <c r="T6" s="5">
        <f t="shared" si="8"/>
        <v>8128500</v>
      </c>
      <c r="U6" s="5">
        <v>4985000</v>
      </c>
      <c r="V6" s="7">
        <f>1571750*2</f>
        <v>3143500</v>
      </c>
    </row>
    <row r="7" spans="1:22" x14ac:dyDescent="0.25">
      <c r="A7" s="1">
        <v>2018</v>
      </c>
      <c r="B7" s="5">
        <f t="shared" si="0"/>
        <v>34363662.5</v>
      </c>
      <c r="C7" s="5">
        <f t="shared" si="1"/>
        <v>21460000</v>
      </c>
      <c r="D7" s="5">
        <f t="shared" si="2"/>
        <v>12903662.5</v>
      </c>
      <c r="E7" s="9">
        <f t="shared" si="3"/>
        <v>926000</v>
      </c>
      <c r="F7" s="5">
        <v>720000</v>
      </c>
      <c r="G7" s="5">
        <f>103000*2</f>
        <v>206000</v>
      </c>
      <c r="H7" s="5">
        <f t="shared" si="4"/>
        <v>6452475</v>
      </c>
      <c r="I7" s="8">
        <v>4180000</v>
      </c>
      <c r="J7" s="5">
        <f>1136237.5*2</f>
        <v>2272475</v>
      </c>
      <c r="K7" s="5">
        <f t="shared" si="5"/>
        <v>4221887.5</v>
      </c>
      <c r="L7" s="5">
        <v>2555000</v>
      </c>
      <c r="M7" s="5">
        <f>833443.75*2</f>
        <v>1666887.5</v>
      </c>
      <c r="N7" s="5">
        <f t="shared" si="6"/>
        <v>8436700</v>
      </c>
      <c r="O7" s="5">
        <v>4980000</v>
      </c>
      <c r="P7" s="5">
        <f>1728350*2</f>
        <v>3456700</v>
      </c>
      <c r="Q7" s="5">
        <f t="shared" si="7"/>
        <v>6177350</v>
      </c>
      <c r="R7" s="5">
        <v>3770000</v>
      </c>
      <c r="S7" s="5">
        <f>1203675*2</f>
        <v>2407350</v>
      </c>
      <c r="T7" s="5">
        <f t="shared" si="8"/>
        <v>8149250</v>
      </c>
      <c r="U7" s="5">
        <v>5255000</v>
      </c>
      <c r="V7" s="7">
        <f>1447125*2</f>
        <v>2894250</v>
      </c>
    </row>
    <row r="8" spans="1:22" x14ac:dyDescent="0.25">
      <c r="A8" s="1">
        <v>2019</v>
      </c>
      <c r="B8" s="5">
        <f t="shared" si="0"/>
        <v>34364075</v>
      </c>
      <c r="C8" s="5">
        <f t="shared" si="1"/>
        <v>22490000</v>
      </c>
      <c r="D8" s="5">
        <f t="shared" si="2"/>
        <v>11874075</v>
      </c>
      <c r="E8" s="9">
        <f t="shared" si="3"/>
        <v>930000</v>
      </c>
      <c r="F8" s="5">
        <v>760000</v>
      </c>
      <c r="G8" s="5">
        <f>85000*2</f>
        <v>170000</v>
      </c>
      <c r="H8" s="5">
        <f t="shared" si="4"/>
        <v>6448475</v>
      </c>
      <c r="I8" s="8">
        <v>4385000</v>
      </c>
      <c r="J8" s="5">
        <f>1031737.5*2</f>
        <v>2063475</v>
      </c>
      <c r="K8" s="5">
        <f t="shared" si="5"/>
        <v>4222750</v>
      </c>
      <c r="L8" s="5">
        <v>2690000</v>
      </c>
      <c r="M8" s="5">
        <f>766375*2</f>
        <v>1532750</v>
      </c>
      <c r="N8" s="5">
        <f t="shared" si="6"/>
        <v>8437500</v>
      </c>
      <c r="O8" s="5">
        <v>5180000</v>
      </c>
      <c r="P8" s="5">
        <f>1628750*2</f>
        <v>3257500</v>
      </c>
      <c r="Q8" s="5">
        <f t="shared" si="7"/>
        <v>6183850</v>
      </c>
      <c r="R8" s="5">
        <v>3965000</v>
      </c>
      <c r="S8" s="5">
        <f>1109425*2</f>
        <v>2218850</v>
      </c>
      <c r="T8" s="5">
        <f t="shared" si="8"/>
        <v>8141500</v>
      </c>
      <c r="U8" s="5">
        <v>5510000</v>
      </c>
      <c r="V8" s="7">
        <f>1315750*2</f>
        <v>2631500</v>
      </c>
    </row>
    <row r="9" spans="1:22" x14ac:dyDescent="0.25">
      <c r="A9" s="1">
        <v>2020</v>
      </c>
      <c r="B9" s="5">
        <f t="shared" si="0"/>
        <v>32682850</v>
      </c>
      <c r="C9" s="5">
        <f t="shared" si="1"/>
        <v>21940000</v>
      </c>
      <c r="D9" s="5">
        <f t="shared" si="2"/>
        <v>10742850</v>
      </c>
      <c r="E9" s="9">
        <f t="shared" si="3"/>
        <v>517000</v>
      </c>
      <c r="F9" s="5">
        <v>385000</v>
      </c>
      <c r="G9" s="5">
        <f>66000*2</f>
        <v>132000</v>
      </c>
      <c r="H9" s="5">
        <f t="shared" si="4"/>
        <v>6449225</v>
      </c>
      <c r="I9" s="8">
        <v>4605000</v>
      </c>
      <c r="J9" s="5">
        <f>922112.5*2</f>
        <v>1844225</v>
      </c>
      <c r="K9" s="5">
        <f t="shared" si="5"/>
        <v>4221525</v>
      </c>
      <c r="L9" s="5">
        <v>2830000</v>
      </c>
      <c r="M9" s="5">
        <f>695762.5*2</f>
        <v>1391525</v>
      </c>
      <c r="N9" s="5">
        <f t="shared" si="6"/>
        <v>8438500</v>
      </c>
      <c r="O9" s="5">
        <v>5440000</v>
      </c>
      <c r="P9" s="5">
        <f>1499250*2</f>
        <v>2998500</v>
      </c>
      <c r="Q9" s="5">
        <f t="shared" si="7"/>
        <v>6190600</v>
      </c>
      <c r="R9" s="5">
        <v>4170000</v>
      </c>
      <c r="S9" s="5">
        <f>1010300*2</f>
        <v>2020600</v>
      </c>
      <c r="T9" s="5">
        <f t="shared" si="8"/>
        <v>6866000</v>
      </c>
      <c r="U9" s="5">
        <v>4510000</v>
      </c>
      <c r="V9" s="7">
        <f>1178000*2</f>
        <v>2356000</v>
      </c>
    </row>
    <row r="10" spans="1:22" x14ac:dyDescent="0.25">
      <c r="A10" s="1">
        <v>2021</v>
      </c>
      <c r="B10" s="5">
        <f t="shared" si="0"/>
        <v>32701800</v>
      </c>
      <c r="C10" s="5">
        <f t="shared" si="1"/>
        <v>23040000</v>
      </c>
      <c r="D10" s="5">
        <f t="shared" si="2"/>
        <v>9661800</v>
      </c>
      <c r="E10" s="9">
        <f t="shared" si="3"/>
        <v>522750</v>
      </c>
      <c r="F10" s="5">
        <v>410000</v>
      </c>
      <c r="G10" s="5">
        <f>56375*2</f>
        <v>112750</v>
      </c>
      <c r="H10" s="5">
        <f t="shared" si="4"/>
        <v>6452000</v>
      </c>
      <c r="I10" s="8">
        <v>4815000</v>
      </c>
      <c r="J10" s="5">
        <f>818500*2</f>
        <v>1637000</v>
      </c>
      <c r="K10" s="5">
        <f t="shared" si="5"/>
        <v>4222950</v>
      </c>
      <c r="L10" s="5">
        <v>2980000</v>
      </c>
      <c r="M10" s="5">
        <f>621475*2</f>
        <v>1242950</v>
      </c>
      <c r="N10" s="5">
        <f t="shared" si="6"/>
        <v>8436500</v>
      </c>
      <c r="O10" s="5">
        <v>5710000</v>
      </c>
      <c r="P10" s="5">
        <f>1363250*2</f>
        <v>2726500</v>
      </c>
      <c r="Q10" s="5">
        <f t="shared" si="7"/>
        <v>6197100</v>
      </c>
      <c r="R10" s="5">
        <v>4385000</v>
      </c>
      <c r="S10" s="5">
        <f>906050*2</f>
        <v>1812100</v>
      </c>
      <c r="T10" s="5">
        <f t="shared" si="8"/>
        <v>6870500</v>
      </c>
      <c r="U10" s="5">
        <v>4740000</v>
      </c>
      <c r="V10" s="7">
        <f>1065250*2</f>
        <v>2130500</v>
      </c>
    </row>
    <row r="11" spans="1:22" x14ac:dyDescent="0.25">
      <c r="A11" s="1">
        <v>2022</v>
      </c>
      <c r="B11" s="5">
        <f t="shared" si="0"/>
        <v>32707350</v>
      </c>
      <c r="C11" s="5">
        <f t="shared" si="1"/>
        <v>24205000</v>
      </c>
      <c r="D11" s="5">
        <f t="shared" si="2"/>
        <v>8502350</v>
      </c>
      <c r="E11" s="9">
        <f t="shared" si="3"/>
        <v>522250</v>
      </c>
      <c r="F11" s="5">
        <v>430000</v>
      </c>
      <c r="G11" s="5">
        <f>46125*2</f>
        <v>92250</v>
      </c>
      <c r="H11" s="5">
        <f t="shared" si="4"/>
        <v>6451250</v>
      </c>
      <c r="I11" s="8">
        <v>5055000</v>
      </c>
      <c r="J11" s="5">
        <f>698125*2</f>
        <v>1396250</v>
      </c>
      <c r="K11" s="5">
        <f t="shared" si="5"/>
        <v>4221500</v>
      </c>
      <c r="L11" s="5">
        <v>3135000</v>
      </c>
      <c r="M11" s="5">
        <f>543250*2</f>
        <v>1086500</v>
      </c>
      <c r="N11" s="5">
        <f t="shared" si="6"/>
        <v>8436000</v>
      </c>
      <c r="O11" s="5">
        <v>5995000</v>
      </c>
      <c r="P11" s="5">
        <f>1220500*2</f>
        <v>2441000</v>
      </c>
      <c r="Q11" s="5">
        <f t="shared" si="7"/>
        <v>6197850</v>
      </c>
      <c r="R11" s="5">
        <v>4605000</v>
      </c>
      <c r="S11" s="5">
        <f>796425*2</f>
        <v>1592850</v>
      </c>
      <c r="T11" s="5">
        <f t="shared" si="8"/>
        <v>6878500</v>
      </c>
      <c r="U11" s="5">
        <v>4985000</v>
      </c>
      <c r="V11" s="7">
        <f>946750*2</f>
        <v>1893500</v>
      </c>
    </row>
    <row r="12" spans="1:22" x14ac:dyDescent="0.25">
      <c r="A12" s="1">
        <v>2023</v>
      </c>
      <c r="B12" s="5">
        <f t="shared" si="0"/>
        <v>30809262.5</v>
      </c>
      <c r="C12" s="5">
        <f t="shared" si="1"/>
        <v>23525000</v>
      </c>
      <c r="D12" s="5">
        <f t="shared" si="2"/>
        <v>7284262.5</v>
      </c>
      <c r="E12" s="9">
        <f t="shared" si="3"/>
        <v>520750</v>
      </c>
      <c r="F12" s="5">
        <v>450000</v>
      </c>
      <c r="G12" s="5">
        <f>35375*2</f>
        <v>70750</v>
      </c>
      <c r="H12" s="5">
        <f t="shared" si="4"/>
        <v>6448500</v>
      </c>
      <c r="I12" s="8">
        <v>5305000</v>
      </c>
      <c r="J12" s="5">
        <f>571750*2</f>
        <v>1143500</v>
      </c>
      <c r="K12" s="5">
        <f t="shared" si="5"/>
        <v>4221912.5</v>
      </c>
      <c r="L12" s="5">
        <v>3300000</v>
      </c>
      <c r="M12" s="5">
        <f>460956.25*2</f>
        <v>921912.5</v>
      </c>
      <c r="N12" s="5">
        <f t="shared" si="6"/>
        <v>8436250</v>
      </c>
      <c r="O12" s="5">
        <v>6295000</v>
      </c>
      <c r="P12" s="5">
        <f>1070625*2</f>
        <v>2141250</v>
      </c>
      <c r="Q12" s="5">
        <f t="shared" si="7"/>
        <v>4302600</v>
      </c>
      <c r="R12" s="5">
        <v>2940000</v>
      </c>
      <c r="S12" s="5">
        <f>681300*2</f>
        <v>1362600</v>
      </c>
      <c r="T12" s="5">
        <f t="shared" si="8"/>
        <v>6879250</v>
      </c>
      <c r="U12" s="5">
        <v>5235000</v>
      </c>
      <c r="V12" s="7">
        <f>822125*2</f>
        <v>1644250</v>
      </c>
    </row>
    <row r="13" spans="1:22" x14ac:dyDescent="0.25">
      <c r="A13" s="1">
        <v>2024</v>
      </c>
      <c r="B13" s="5">
        <f t="shared" si="0"/>
        <v>30822412.5</v>
      </c>
      <c r="C13" s="5">
        <f t="shared" si="1"/>
        <v>24685000</v>
      </c>
      <c r="D13" s="5">
        <f t="shared" si="2"/>
        <v>6137412.5</v>
      </c>
      <c r="E13" s="9">
        <f t="shared" si="3"/>
        <v>518250</v>
      </c>
      <c r="F13" s="5">
        <v>470000</v>
      </c>
      <c r="G13" s="5">
        <f>24125*2</f>
        <v>48250</v>
      </c>
      <c r="H13" s="5">
        <f t="shared" si="4"/>
        <v>6448250</v>
      </c>
      <c r="I13" s="8">
        <v>5570000</v>
      </c>
      <c r="J13" s="5">
        <f>439125*2</f>
        <v>878250</v>
      </c>
      <c r="K13" s="5">
        <f t="shared" si="5"/>
        <v>4221912.5</v>
      </c>
      <c r="L13" s="5">
        <v>3465000</v>
      </c>
      <c r="M13" s="5">
        <f>378456.25*2</f>
        <v>756912.5</v>
      </c>
      <c r="N13" s="5">
        <f t="shared" si="6"/>
        <v>8436500</v>
      </c>
      <c r="O13" s="5">
        <v>6610000</v>
      </c>
      <c r="P13" s="5">
        <f>913250*2</f>
        <v>1826500</v>
      </c>
      <c r="Q13" s="5">
        <f t="shared" si="7"/>
        <v>4305000</v>
      </c>
      <c r="R13" s="5">
        <v>3060000</v>
      </c>
      <c r="S13" s="5">
        <f>622500*2</f>
        <v>1245000</v>
      </c>
      <c r="T13" s="5">
        <f t="shared" si="8"/>
        <v>6892500</v>
      </c>
      <c r="U13" s="5">
        <v>5510000</v>
      </c>
      <c r="V13" s="7">
        <f>691250*2</f>
        <v>1382500</v>
      </c>
    </row>
    <row r="14" spans="1:22" x14ac:dyDescent="0.25">
      <c r="A14" s="1">
        <v>2025</v>
      </c>
      <c r="B14" s="5">
        <f t="shared" si="0"/>
        <v>28209500</v>
      </c>
      <c r="C14" s="5">
        <f t="shared" si="1"/>
        <v>23315000</v>
      </c>
      <c r="D14" s="5">
        <f t="shared" si="2"/>
        <v>4894500</v>
      </c>
      <c r="E14" s="9">
        <f t="shared" si="3"/>
        <v>519750</v>
      </c>
      <c r="F14" s="5">
        <v>495000</v>
      </c>
      <c r="G14" s="5">
        <f>12375*2</f>
        <v>24750</v>
      </c>
      <c r="H14" s="5">
        <f t="shared" si="4"/>
        <v>6449750</v>
      </c>
      <c r="I14" s="8">
        <v>5850000</v>
      </c>
      <c r="J14" s="5">
        <f>299875*2</f>
        <v>599750</v>
      </c>
      <c r="K14" s="5">
        <f t="shared" si="5"/>
        <v>4225000</v>
      </c>
      <c r="L14" s="5">
        <v>3650000</v>
      </c>
      <c r="M14" s="5">
        <f>287500*2</f>
        <v>575000</v>
      </c>
      <c r="N14" s="5">
        <f t="shared" si="6"/>
        <v>8436000</v>
      </c>
      <c r="O14" s="5">
        <v>6940000</v>
      </c>
      <c r="P14" s="5">
        <f>748000*2</f>
        <v>1496000</v>
      </c>
      <c r="Q14" s="5">
        <f t="shared" si="7"/>
        <v>4302000</v>
      </c>
      <c r="R14" s="5">
        <v>3210000</v>
      </c>
      <c r="S14" s="5">
        <f>546000*2</f>
        <v>1092000</v>
      </c>
      <c r="T14" s="5">
        <f t="shared" si="8"/>
        <v>4277000</v>
      </c>
      <c r="U14" s="5">
        <v>3170000</v>
      </c>
      <c r="V14" s="7">
        <f>553500*2</f>
        <v>1107000</v>
      </c>
    </row>
    <row r="15" spans="1:22" x14ac:dyDescent="0.25">
      <c r="A15" s="1">
        <v>2026</v>
      </c>
      <c r="B15" s="5">
        <f t="shared" si="0"/>
        <v>26348750</v>
      </c>
      <c r="C15" s="5">
        <f t="shared" si="1"/>
        <v>22620000</v>
      </c>
      <c r="D15" s="5">
        <f t="shared" si="2"/>
        <v>3728750</v>
      </c>
      <c r="E15" s="5"/>
      <c r="F15" s="5"/>
      <c r="G15" s="5"/>
      <c r="H15" s="5">
        <f t="shared" si="4"/>
        <v>6452250</v>
      </c>
      <c r="I15" s="8">
        <v>6145000</v>
      </c>
      <c r="J15" s="5">
        <f>153625*2</f>
        <v>307250</v>
      </c>
      <c r="K15" s="5">
        <f t="shared" si="5"/>
        <v>4222500</v>
      </c>
      <c r="L15" s="5">
        <v>3830000</v>
      </c>
      <c r="M15" s="5">
        <f>196250*2</f>
        <v>392500</v>
      </c>
      <c r="N15" s="5">
        <f t="shared" si="6"/>
        <v>8439000</v>
      </c>
      <c r="O15" s="5">
        <v>7290000</v>
      </c>
      <c r="P15" s="5">
        <f>574500*2</f>
        <v>1149000</v>
      </c>
      <c r="Q15" s="5">
        <f t="shared" si="7"/>
        <v>4301500</v>
      </c>
      <c r="R15" s="5">
        <v>3370000</v>
      </c>
      <c r="S15" s="5">
        <f>465750*2</f>
        <v>931500</v>
      </c>
      <c r="T15" s="5">
        <f t="shared" si="8"/>
        <v>2933500</v>
      </c>
      <c r="U15" s="5">
        <v>1985000</v>
      </c>
      <c r="V15" s="7">
        <f>474250*2</f>
        <v>948500</v>
      </c>
    </row>
    <row r="16" spans="1:22" x14ac:dyDescent="0.25">
      <c r="A16" s="1">
        <v>2027</v>
      </c>
      <c r="B16" s="5">
        <f t="shared" si="0"/>
        <v>19892750</v>
      </c>
      <c r="C16" s="5">
        <f t="shared" si="1"/>
        <v>17295000</v>
      </c>
      <c r="D16" s="5">
        <f t="shared" si="2"/>
        <v>2597750</v>
      </c>
      <c r="E16" s="5"/>
      <c r="F16" s="5"/>
      <c r="G16" s="5"/>
      <c r="H16" s="5"/>
      <c r="I16" s="5"/>
      <c r="J16" s="5"/>
      <c r="K16" s="5">
        <f t="shared" si="5"/>
        <v>4221000</v>
      </c>
      <c r="L16" s="5">
        <v>4020000</v>
      </c>
      <c r="M16" s="5">
        <f>100500*2</f>
        <v>201000</v>
      </c>
      <c r="N16" s="5">
        <f t="shared" si="6"/>
        <v>8434500</v>
      </c>
      <c r="O16" s="5">
        <v>7650000</v>
      </c>
      <c r="P16" s="5">
        <f>392250*2</f>
        <v>784500</v>
      </c>
      <c r="Q16" s="5">
        <f t="shared" si="7"/>
        <v>4303000</v>
      </c>
      <c r="R16" s="5">
        <v>3540000</v>
      </c>
      <c r="S16" s="5">
        <f>381500*2</f>
        <v>763000</v>
      </c>
      <c r="T16" s="5">
        <f t="shared" si="8"/>
        <v>2934250</v>
      </c>
      <c r="U16" s="5">
        <v>2085000</v>
      </c>
      <c r="V16" s="7">
        <f>424625*2</f>
        <v>849250</v>
      </c>
    </row>
    <row r="17" spans="1:22" x14ac:dyDescent="0.25">
      <c r="A17" s="1">
        <v>2028</v>
      </c>
      <c r="B17" s="5">
        <f t="shared" si="0"/>
        <v>15678000</v>
      </c>
      <c r="C17" s="5">
        <f t="shared" si="1"/>
        <v>13945000</v>
      </c>
      <c r="D17" s="5">
        <f t="shared" si="2"/>
        <v>1733000</v>
      </c>
      <c r="E17" s="5"/>
      <c r="F17" s="5"/>
      <c r="G17" s="5"/>
      <c r="H17" s="5"/>
      <c r="I17" s="5"/>
      <c r="J17" s="5"/>
      <c r="K17" s="5"/>
      <c r="L17" s="5"/>
      <c r="M17" s="5"/>
      <c r="N17" s="5">
        <f t="shared" si="6"/>
        <v>8442000</v>
      </c>
      <c r="O17" s="5">
        <v>8040000</v>
      </c>
      <c r="P17" s="5">
        <f>201000*2</f>
        <v>402000</v>
      </c>
      <c r="Q17" s="5">
        <f t="shared" si="7"/>
        <v>4301000</v>
      </c>
      <c r="R17" s="5">
        <v>3715000</v>
      </c>
      <c r="S17" s="5">
        <f>293000*2</f>
        <v>586000</v>
      </c>
      <c r="T17" s="5">
        <f t="shared" si="8"/>
        <v>2935000</v>
      </c>
      <c r="U17" s="5">
        <v>2190000</v>
      </c>
      <c r="V17" s="7">
        <f>372500*2</f>
        <v>745000</v>
      </c>
    </row>
    <row r="18" spans="1:22" x14ac:dyDescent="0.25">
      <c r="A18" s="1">
        <v>2029</v>
      </c>
      <c r="B18" s="5">
        <f t="shared" si="0"/>
        <v>7240750</v>
      </c>
      <c r="C18" s="5">
        <f t="shared" si="1"/>
        <v>6205000</v>
      </c>
      <c r="D18" s="5">
        <f t="shared" si="2"/>
        <v>1035750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f t="shared" si="7"/>
        <v>4305250</v>
      </c>
      <c r="R18" s="5">
        <v>3905000</v>
      </c>
      <c r="S18" s="5">
        <f>200125*2</f>
        <v>400250</v>
      </c>
      <c r="T18" s="5">
        <f t="shared" si="8"/>
        <v>2935500</v>
      </c>
      <c r="U18" s="5">
        <v>2300000</v>
      </c>
      <c r="V18" s="7">
        <f>317750*2</f>
        <v>635500</v>
      </c>
    </row>
    <row r="19" spans="1:22" x14ac:dyDescent="0.25">
      <c r="A19" s="1">
        <v>2030</v>
      </c>
      <c r="B19" s="5">
        <f t="shared" si="0"/>
        <v>7240500</v>
      </c>
      <c r="C19" s="5">
        <f t="shared" si="1"/>
        <v>6515000</v>
      </c>
      <c r="D19" s="5">
        <f t="shared" si="2"/>
        <v>725500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f t="shared" si="7"/>
        <v>4305000</v>
      </c>
      <c r="R19" s="5">
        <v>4100000</v>
      </c>
      <c r="S19" s="5">
        <f>102500*2</f>
        <v>205000</v>
      </c>
      <c r="T19" s="5">
        <f t="shared" si="8"/>
        <v>2935500</v>
      </c>
      <c r="U19" s="5">
        <v>2415000</v>
      </c>
      <c r="V19" s="7">
        <f>260250*2</f>
        <v>520500</v>
      </c>
    </row>
    <row r="20" spans="1:22" x14ac:dyDescent="0.25">
      <c r="A20" s="1">
        <v>2031</v>
      </c>
      <c r="B20" s="5">
        <f t="shared" si="0"/>
        <v>2934750</v>
      </c>
      <c r="C20" s="5">
        <f t="shared" si="1"/>
        <v>2535000</v>
      </c>
      <c r="D20" s="5">
        <f t="shared" si="2"/>
        <v>399750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8"/>
        <v>2934750</v>
      </c>
      <c r="U20" s="5">
        <v>2535000</v>
      </c>
      <c r="V20" s="7">
        <f>199875*2</f>
        <v>399750</v>
      </c>
    </row>
    <row r="21" spans="1:22" x14ac:dyDescent="0.25">
      <c r="A21" s="1">
        <v>2032</v>
      </c>
      <c r="B21" s="5">
        <f t="shared" si="0"/>
        <v>2938000</v>
      </c>
      <c r="C21" s="5">
        <f t="shared" si="1"/>
        <v>2665000</v>
      </c>
      <c r="D21" s="5">
        <f t="shared" si="2"/>
        <v>273000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8"/>
        <v>2938000</v>
      </c>
      <c r="U21" s="5">
        <v>2665000</v>
      </c>
      <c r="V21" s="7">
        <f>136500*2</f>
        <v>273000</v>
      </c>
    </row>
    <row r="22" spans="1:22" x14ac:dyDescent="0.25">
      <c r="A22" s="1">
        <v>2033</v>
      </c>
      <c r="B22" s="5">
        <f t="shared" si="0"/>
        <v>2934750</v>
      </c>
      <c r="C22" s="5">
        <f t="shared" si="1"/>
        <v>2795000</v>
      </c>
      <c r="D22" s="5">
        <f t="shared" si="2"/>
        <v>139750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8"/>
        <v>2934750</v>
      </c>
      <c r="U22" s="5">
        <v>2795000</v>
      </c>
      <c r="V22" s="7">
        <f>69875*2</f>
        <v>139750</v>
      </c>
    </row>
    <row r="23" spans="1:22" ht="15.75" thickBot="1" x14ac:dyDescent="0.3">
      <c r="A23" s="15" t="s">
        <v>4</v>
      </c>
      <c r="B23" s="6">
        <f>SUM(B4:B22)</f>
        <v>444797900</v>
      </c>
      <c r="C23" s="6">
        <f>SUM(C4:C22)</f>
        <v>317820000</v>
      </c>
      <c r="D23" s="6">
        <f t="shared" ref="D23:V23" si="9">SUM(D4:D22)</f>
        <v>126977900</v>
      </c>
      <c r="E23" s="6">
        <f t="shared" si="9"/>
        <v>9828250</v>
      </c>
      <c r="F23" s="6">
        <f t="shared" si="9"/>
        <v>8055000</v>
      </c>
      <c r="G23" s="6">
        <f t="shared" si="9"/>
        <v>1773250</v>
      </c>
      <c r="H23" s="6">
        <f t="shared" si="9"/>
        <v>77406100</v>
      </c>
      <c r="I23" s="6">
        <f t="shared" si="9"/>
        <v>57290000</v>
      </c>
      <c r="J23" s="6">
        <f t="shared" si="9"/>
        <v>20116100</v>
      </c>
      <c r="K23" s="6">
        <f t="shared" si="9"/>
        <v>54896350</v>
      </c>
      <c r="L23" s="6">
        <f t="shared" si="9"/>
        <v>39420000</v>
      </c>
      <c r="M23" s="6">
        <f t="shared" si="9"/>
        <v>15476350</v>
      </c>
      <c r="N23" s="6">
        <f t="shared" si="9"/>
        <v>118117800</v>
      </c>
      <c r="O23" s="6">
        <f t="shared" si="9"/>
        <v>83690000</v>
      </c>
      <c r="P23" s="6">
        <f t="shared" si="9"/>
        <v>34427800</v>
      </c>
      <c r="Q23" s="6">
        <f t="shared" si="9"/>
        <v>83853750</v>
      </c>
      <c r="R23" s="6">
        <f t="shared" si="9"/>
        <v>59085000</v>
      </c>
      <c r="S23" s="6">
        <f t="shared" si="9"/>
        <v>24768750</v>
      </c>
      <c r="T23" s="6">
        <f t="shared" si="9"/>
        <v>100695650</v>
      </c>
      <c r="U23" s="6">
        <f t="shared" si="9"/>
        <v>70280000</v>
      </c>
      <c r="V23" s="6">
        <f t="shared" si="9"/>
        <v>30415650</v>
      </c>
    </row>
    <row r="24" spans="1:22" ht="15.75" thickTop="1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B25" s="9">
        <f>+B23-B4</f>
        <v>410515987.5</v>
      </c>
      <c r="C25" s="8">
        <f>+C23-C4</f>
        <v>299175000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</row>
    <row r="26" spans="1:22" x14ac:dyDescent="0.25">
      <c r="C26" s="16">
        <v>80300000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B27" s="10"/>
      <c r="C27" s="10">
        <f>SUM(C25:C26)</f>
        <v>379475000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</sheetData>
  <mergeCells count="13">
    <mergeCell ref="E2:G2"/>
    <mergeCell ref="N2:P2"/>
    <mergeCell ref="K2:M2"/>
    <mergeCell ref="H2:J2"/>
    <mergeCell ref="T2:V2"/>
    <mergeCell ref="Q2:S2"/>
    <mergeCell ref="T1:V1"/>
    <mergeCell ref="B1:D1"/>
    <mergeCell ref="E1:G1"/>
    <mergeCell ref="H1:J1"/>
    <mergeCell ref="K1:M1"/>
    <mergeCell ref="N1:P1"/>
    <mergeCell ref="Q1:S1"/>
  </mergeCells>
  <pageMargins left="0.25" right="0.25" top="0.75" bottom="0.75" header="0.3" footer="0.3"/>
  <pageSetup paperSize="17" scale="68" orientation="landscape" r:id="rId1"/>
  <headerFooter>
    <oddHeader>&amp;C&amp;"-,Bold"&amp;18 Combine Schedule of Tarrant County 's Outstanding Debt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57"/>
  <sheetViews>
    <sheetView view="pageLayout" zoomScaleNormal="100" workbookViewId="0">
      <selection activeCell="A30" sqref="A30"/>
    </sheetView>
  </sheetViews>
  <sheetFormatPr defaultRowHeight="15" x14ac:dyDescent="0.25"/>
  <cols>
    <col min="1" max="1" width="18.5703125" customWidth="1"/>
    <col min="2" max="2" width="13.28515625" customWidth="1"/>
    <col min="3" max="3" width="12.5703125" customWidth="1"/>
    <col min="4" max="4" width="13.42578125" customWidth="1"/>
    <col min="5" max="5" width="14.42578125" hidden="1" customWidth="1"/>
    <col min="6" max="6" width="13.85546875" hidden="1" customWidth="1"/>
    <col min="7" max="7" width="13.7109375" hidden="1" customWidth="1"/>
    <col min="8" max="8" width="18.28515625" hidden="1" customWidth="1"/>
    <col min="9" max="9" width="13.5703125" hidden="1" customWidth="1"/>
    <col min="10" max="10" width="14.7109375" hidden="1" customWidth="1"/>
    <col min="11" max="11" width="13.7109375" customWidth="1"/>
    <col min="12" max="12" width="18.85546875" customWidth="1"/>
    <col min="13" max="13" width="15.42578125" customWidth="1"/>
    <col min="14" max="14" width="14" customWidth="1"/>
    <col min="15" max="15" width="11.7109375" customWidth="1"/>
    <col min="16" max="16" width="15.85546875" customWidth="1"/>
    <col min="17" max="17" width="12.5703125" customWidth="1"/>
    <col min="18" max="18" width="12.28515625" customWidth="1"/>
    <col min="19" max="19" width="14.5703125" customWidth="1"/>
    <col min="20" max="22" width="12.5703125" customWidth="1"/>
    <col min="23" max="25" width="13.5703125" customWidth="1"/>
    <col min="26" max="26" width="13.140625" customWidth="1"/>
    <col min="27" max="27" width="13.5703125" customWidth="1"/>
    <col min="28" max="28" width="15.28515625" bestFit="1" customWidth="1"/>
    <col min="29" max="29" width="12.7109375" customWidth="1"/>
    <col min="30" max="30" width="11.5703125" customWidth="1"/>
    <col min="31" max="31" width="12.5703125" bestFit="1" customWidth="1"/>
  </cols>
  <sheetData>
    <row r="1" spans="1:31" x14ac:dyDescent="0.25">
      <c r="A1" s="12"/>
      <c r="B1" s="50" t="s">
        <v>1</v>
      </c>
      <c r="C1" s="50"/>
      <c r="D1" s="50"/>
      <c r="E1" s="50" t="s">
        <v>6</v>
      </c>
      <c r="F1" s="50"/>
      <c r="G1" s="50"/>
      <c r="H1" s="50" t="s">
        <v>7</v>
      </c>
      <c r="I1" s="50"/>
      <c r="J1" s="50"/>
      <c r="K1" s="50" t="s">
        <v>8</v>
      </c>
      <c r="L1" s="50"/>
      <c r="M1" s="50"/>
      <c r="N1" s="50" t="s">
        <v>9</v>
      </c>
      <c r="O1" s="50"/>
      <c r="P1" s="50"/>
      <c r="Q1" s="50" t="s">
        <v>10</v>
      </c>
      <c r="R1" s="50"/>
      <c r="S1" s="50"/>
      <c r="T1" s="50" t="s">
        <v>19</v>
      </c>
      <c r="U1" s="50"/>
      <c r="V1" s="50"/>
      <c r="W1" s="50" t="s">
        <v>20</v>
      </c>
      <c r="X1" s="50"/>
      <c r="Y1" s="50"/>
      <c r="Z1" s="54"/>
      <c r="AA1" s="54"/>
      <c r="AB1" s="54"/>
      <c r="AC1" s="54"/>
      <c r="AD1" s="54"/>
      <c r="AE1" s="54"/>
    </row>
    <row r="2" spans="1:31" ht="15.75" thickBot="1" x14ac:dyDescent="0.3">
      <c r="A2" s="13"/>
      <c r="B2" s="14"/>
      <c r="C2" s="14"/>
      <c r="D2" s="14"/>
      <c r="E2" s="52" t="s">
        <v>12</v>
      </c>
      <c r="F2" s="52"/>
      <c r="G2" s="52"/>
      <c r="H2" s="52" t="s">
        <v>13</v>
      </c>
      <c r="I2" s="52"/>
      <c r="J2" s="52"/>
      <c r="K2" s="52" t="s">
        <v>11</v>
      </c>
      <c r="L2" s="52"/>
      <c r="M2" s="52"/>
      <c r="N2" s="52" t="s">
        <v>15</v>
      </c>
      <c r="O2" s="52"/>
      <c r="P2" s="52"/>
      <c r="Q2" s="52" t="s">
        <v>14</v>
      </c>
      <c r="R2" s="52"/>
      <c r="S2" s="52"/>
      <c r="T2" s="52" t="s">
        <v>18</v>
      </c>
      <c r="U2" s="52"/>
      <c r="V2" s="52"/>
      <c r="W2" s="52" t="s">
        <v>21</v>
      </c>
      <c r="X2" s="52"/>
      <c r="Y2" s="52"/>
      <c r="Z2" s="55"/>
      <c r="AA2" s="55"/>
      <c r="AB2" s="55"/>
      <c r="AC2" s="55"/>
      <c r="AD2" s="55"/>
      <c r="AE2" s="55"/>
    </row>
    <row r="3" spans="1:31" x14ac:dyDescent="0.25">
      <c r="A3" s="1" t="s">
        <v>0</v>
      </c>
      <c r="B3" s="2" t="s">
        <v>1</v>
      </c>
      <c r="C3" s="3" t="s">
        <v>2</v>
      </c>
      <c r="D3" s="2" t="s">
        <v>3</v>
      </c>
      <c r="E3" s="2" t="s">
        <v>1</v>
      </c>
      <c r="F3" s="2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1"/>
      <c r="AA3" s="21"/>
      <c r="AB3" s="21"/>
      <c r="AC3" s="21"/>
      <c r="AD3" s="21"/>
      <c r="AE3" s="21"/>
    </row>
    <row r="4" spans="1:31" x14ac:dyDescent="0.25">
      <c r="A4" s="1">
        <v>2016</v>
      </c>
      <c r="B4" s="5">
        <f t="shared" ref="B4:B23" si="0">SUM(C4:D4)</f>
        <v>37299979.149999999</v>
      </c>
      <c r="C4" s="5">
        <f>+F4+I4+L4+O4+R4+U4+X4+AA4+AD4</f>
        <v>22990000</v>
      </c>
      <c r="D4" s="5">
        <f>+G4+J4+M4+P4+S4+V4+Y4+AB4+AE4</f>
        <v>14309979.15</v>
      </c>
      <c r="E4" s="5">
        <f t="shared" ref="E4" si="1">SUM(F4:G4)</f>
        <v>3979500</v>
      </c>
      <c r="F4" s="5">
        <v>3790000</v>
      </c>
      <c r="G4" s="5">
        <v>189500</v>
      </c>
      <c r="H4" s="5">
        <f t="shared" ref="H4:H5" si="2">SUM(I4:J4)</f>
        <v>2557750</v>
      </c>
      <c r="I4" s="5">
        <v>2320000</v>
      </c>
      <c r="J4" s="5">
        <v>237750</v>
      </c>
      <c r="K4" s="5">
        <f t="shared" ref="K4:K16" si="3">SUM(L4:M4)</f>
        <v>8434700</v>
      </c>
      <c r="L4" s="5">
        <v>4515000</v>
      </c>
      <c r="M4" s="5">
        <f>1959850*2</f>
        <v>3919700</v>
      </c>
      <c r="N4" s="5">
        <f t="shared" ref="N4:N18" si="4">SUM(O4:P4)</f>
        <v>6163950</v>
      </c>
      <c r="O4" s="5">
        <v>3440000</v>
      </c>
      <c r="P4" s="5">
        <f>1361975*2</f>
        <v>2723950</v>
      </c>
      <c r="Q4" s="5">
        <f t="shared" ref="Q4:Q21" si="5">SUM(R4:S4)</f>
        <v>8104300</v>
      </c>
      <c r="R4" s="5">
        <v>4770000</v>
      </c>
      <c r="S4" s="5">
        <f>1667150*2</f>
        <v>3334300</v>
      </c>
      <c r="T4" s="5">
        <f>SUM(U4:V4)</f>
        <v>2687065</v>
      </c>
      <c r="U4" s="5">
        <v>140000</v>
      </c>
      <c r="V4" s="5">
        <v>2547065</v>
      </c>
      <c r="W4" s="8">
        <f>SUM(X4:Y4)</f>
        <v>5372714.1500000004</v>
      </c>
      <c r="X4" s="8">
        <v>4015000</v>
      </c>
      <c r="Y4" s="8">
        <f>540361.15+817353</f>
        <v>1357714.15</v>
      </c>
      <c r="Z4" s="8"/>
      <c r="AA4" s="8"/>
      <c r="AB4" s="8"/>
      <c r="AC4" s="8"/>
      <c r="AD4" s="8"/>
      <c r="AE4" s="8"/>
    </row>
    <row r="5" spans="1:31" s="20" customFormat="1" x14ac:dyDescent="0.25">
      <c r="A5" s="19">
        <v>2017</v>
      </c>
      <c r="B5" s="8">
        <f t="shared" si="0"/>
        <v>37715660.5</v>
      </c>
      <c r="C5" s="5">
        <f t="shared" ref="C5:C23" si="6">+F5+I5+L5+O5+R5+U5+X5+AA5+AD5</f>
        <v>23585000</v>
      </c>
      <c r="D5" s="5">
        <f>+G5+J5+M5+P5+S5+V5+Y5+AB5+AE5</f>
        <v>14130660.5</v>
      </c>
      <c r="E5" s="8"/>
      <c r="F5" s="8"/>
      <c r="G5" s="8"/>
      <c r="H5" s="8">
        <f t="shared" si="2"/>
        <v>2556750</v>
      </c>
      <c r="I5" s="8">
        <v>2435000</v>
      </c>
      <c r="J5" s="8">
        <v>121750</v>
      </c>
      <c r="K5" s="8">
        <f t="shared" si="3"/>
        <v>8438950</v>
      </c>
      <c r="L5" s="8">
        <v>4745000</v>
      </c>
      <c r="M5" s="8">
        <f>1846975*2</f>
        <v>3693950</v>
      </c>
      <c r="N5" s="8">
        <f t="shared" si="4"/>
        <v>6166950</v>
      </c>
      <c r="O5" s="8">
        <v>3615000</v>
      </c>
      <c r="P5" s="8">
        <f>1275975*2</f>
        <v>2551950</v>
      </c>
      <c r="Q5" s="8">
        <f t="shared" si="5"/>
        <v>8128500</v>
      </c>
      <c r="R5" s="8">
        <v>4985000</v>
      </c>
      <c r="S5" s="8">
        <f>1571750*2</f>
        <v>3143500</v>
      </c>
      <c r="T5" s="8">
        <f t="shared" ref="T5:T23" si="7">SUM(U5:V5)</f>
        <v>3063900</v>
      </c>
      <c r="U5" s="8">
        <v>0</v>
      </c>
      <c r="V5" s="8">
        <v>3063900</v>
      </c>
      <c r="W5" s="8">
        <f t="shared" ref="W5:W14" si="8">SUM(X5:Y5)</f>
        <v>9360610.5</v>
      </c>
      <c r="X5" s="8">
        <v>7805000</v>
      </c>
      <c r="Y5" s="8">
        <f>777805.25+777805.25</f>
        <v>1555610.5</v>
      </c>
      <c r="Z5" s="8"/>
      <c r="AA5" s="8"/>
      <c r="AB5" s="8"/>
      <c r="AC5" s="8"/>
      <c r="AD5" s="8"/>
      <c r="AE5" s="8"/>
    </row>
    <row r="6" spans="1:31" x14ac:dyDescent="0.25">
      <c r="A6" s="1">
        <v>2018</v>
      </c>
      <c r="B6" s="5">
        <f t="shared" si="0"/>
        <v>37644052</v>
      </c>
      <c r="C6" s="5">
        <f t="shared" si="6"/>
        <v>24420000</v>
      </c>
      <c r="D6" s="5">
        <f t="shared" ref="D6:D23" si="9">+G6+J6+M6+P6+S6+V6+Y6+AB6+AE6</f>
        <v>13224052</v>
      </c>
      <c r="E6" s="5"/>
      <c r="F6" s="8"/>
      <c r="G6" s="5"/>
      <c r="H6" s="5"/>
      <c r="I6" s="5"/>
      <c r="J6" s="5"/>
      <c r="K6" s="5">
        <f t="shared" si="3"/>
        <v>8436700</v>
      </c>
      <c r="L6" s="5">
        <v>4980000</v>
      </c>
      <c r="M6" s="5">
        <f>1728350*2</f>
        <v>3456700</v>
      </c>
      <c r="N6" s="5">
        <f t="shared" si="4"/>
        <v>6177350</v>
      </c>
      <c r="O6" s="5">
        <v>3770000</v>
      </c>
      <c r="P6" s="5">
        <f>1203675*2</f>
        <v>2407350</v>
      </c>
      <c r="Q6" s="5">
        <f t="shared" si="5"/>
        <v>8149250</v>
      </c>
      <c r="R6" s="5">
        <v>5255000</v>
      </c>
      <c r="S6" s="5">
        <f>1447125*2</f>
        <v>2894250</v>
      </c>
      <c r="T6" s="5">
        <f t="shared" si="7"/>
        <v>5523900</v>
      </c>
      <c r="U6" s="5">
        <v>2460000</v>
      </c>
      <c r="V6" s="5">
        <v>3063900</v>
      </c>
      <c r="W6" s="8">
        <f t="shared" si="8"/>
        <v>9356852</v>
      </c>
      <c r="X6" s="8">
        <v>7955000</v>
      </c>
      <c r="Y6" s="8">
        <v>1401852</v>
      </c>
      <c r="Z6" s="8"/>
      <c r="AA6" s="8"/>
      <c r="AB6" s="8"/>
      <c r="AC6" s="8"/>
      <c r="AD6" s="8"/>
      <c r="AE6" s="8"/>
    </row>
    <row r="7" spans="1:31" x14ac:dyDescent="0.25">
      <c r="A7" s="1">
        <v>2019</v>
      </c>
      <c r="B7" s="5">
        <f t="shared" si="0"/>
        <v>37638888.5</v>
      </c>
      <c r="C7" s="5">
        <f t="shared" si="6"/>
        <v>25345000</v>
      </c>
      <c r="D7" s="5">
        <f t="shared" si="9"/>
        <v>12293888.5</v>
      </c>
      <c r="E7" s="5"/>
      <c r="F7" s="8"/>
      <c r="G7" s="5"/>
      <c r="H7" s="5"/>
      <c r="I7" s="5"/>
      <c r="J7" s="5"/>
      <c r="K7" s="5">
        <f t="shared" si="3"/>
        <v>8437500</v>
      </c>
      <c r="L7" s="5">
        <v>5180000</v>
      </c>
      <c r="M7" s="5">
        <f>1628750*2</f>
        <v>3257500</v>
      </c>
      <c r="N7" s="5">
        <f t="shared" si="4"/>
        <v>6183850</v>
      </c>
      <c r="O7" s="5">
        <v>3965000</v>
      </c>
      <c r="P7" s="5">
        <f>1109425*2</f>
        <v>2218850</v>
      </c>
      <c r="Q7" s="5">
        <f t="shared" si="5"/>
        <v>8141500</v>
      </c>
      <c r="R7" s="5">
        <v>5510000</v>
      </c>
      <c r="S7" s="5">
        <f>1315750*2</f>
        <v>2631500</v>
      </c>
      <c r="T7" s="5">
        <f t="shared" si="7"/>
        <v>5520900</v>
      </c>
      <c r="U7" s="5">
        <v>2580000</v>
      </c>
      <c r="V7" s="5">
        <v>2940900</v>
      </c>
      <c r="W7" s="8">
        <f t="shared" si="8"/>
        <v>9355138.5</v>
      </c>
      <c r="X7" s="8">
        <v>8110000</v>
      </c>
      <c r="Y7" s="8">
        <f>622569.25+622569.25</f>
        <v>1245138.5</v>
      </c>
      <c r="Z7" s="8"/>
      <c r="AA7" s="8"/>
      <c r="AB7" s="8"/>
      <c r="AC7" s="8"/>
      <c r="AD7" s="8"/>
      <c r="AE7" s="8"/>
    </row>
    <row r="8" spans="1:31" x14ac:dyDescent="0.25">
      <c r="A8" s="1">
        <v>2020</v>
      </c>
      <c r="B8" s="5">
        <f t="shared" si="0"/>
        <v>35962371.5</v>
      </c>
      <c r="C8" s="5">
        <f t="shared" si="6"/>
        <v>24690000</v>
      </c>
      <c r="D8" s="5">
        <f t="shared" si="9"/>
        <v>11272371.5</v>
      </c>
      <c r="E8" s="5"/>
      <c r="F8" s="8"/>
      <c r="G8" s="5"/>
      <c r="H8" s="5"/>
      <c r="I8" s="5"/>
      <c r="J8" s="5"/>
      <c r="K8" s="5">
        <f t="shared" si="3"/>
        <v>8438500</v>
      </c>
      <c r="L8" s="5">
        <v>5440000</v>
      </c>
      <c r="M8" s="5">
        <f>1499250*2</f>
        <v>2998500</v>
      </c>
      <c r="N8" s="5">
        <f t="shared" si="4"/>
        <v>6190600</v>
      </c>
      <c r="O8" s="5">
        <v>4170000</v>
      </c>
      <c r="P8" s="5">
        <f>1010300*2</f>
        <v>2020600</v>
      </c>
      <c r="Q8" s="5">
        <f t="shared" si="5"/>
        <v>6866000</v>
      </c>
      <c r="R8" s="5">
        <v>4510000</v>
      </c>
      <c r="S8" s="5">
        <f>1178000*2</f>
        <v>2356000</v>
      </c>
      <c r="T8" s="5">
        <f t="shared" si="7"/>
        <v>5521900</v>
      </c>
      <c r="U8" s="5">
        <v>2710000</v>
      </c>
      <c r="V8" s="5">
        <v>2811900</v>
      </c>
      <c r="W8" s="8">
        <f t="shared" si="8"/>
        <v>8945371.5</v>
      </c>
      <c r="X8" s="8">
        <v>7860000</v>
      </c>
      <c r="Y8" s="8">
        <f>542685.75+542685.75</f>
        <v>1085371.5</v>
      </c>
      <c r="Z8" s="8"/>
      <c r="AA8" s="8"/>
      <c r="AB8" s="8"/>
      <c r="AC8" s="8"/>
      <c r="AD8" s="8"/>
      <c r="AE8" s="8"/>
    </row>
    <row r="9" spans="1:31" x14ac:dyDescent="0.25">
      <c r="A9" s="1">
        <v>2021</v>
      </c>
      <c r="B9" s="5">
        <f t="shared" si="0"/>
        <v>35976029.5</v>
      </c>
      <c r="C9" s="5">
        <f t="shared" si="6"/>
        <v>25700000</v>
      </c>
      <c r="D9" s="5">
        <f t="shared" si="9"/>
        <v>10276029.5</v>
      </c>
      <c r="E9" s="5"/>
      <c r="F9" s="8"/>
      <c r="G9" s="5"/>
      <c r="H9" s="5"/>
      <c r="I9" s="5"/>
      <c r="J9" s="5"/>
      <c r="K9" s="5">
        <f t="shared" si="3"/>
        <v>8436500</v>
      </c>
      <c r="L9" s="5">
        <v>5710000</v>
      </c>
      <c r="M9" s="5">
        <f>1363250*2</f>
        <v>2726500</v>
      </c>
      <c r="N9" s="5">
        <f t="shared" si="4"/>
        <v>6197100</v>
      </c>
      <c r="O9" s="5">
        <v>4385000</v>
      </c>
      <c r="P9" s="5">
        <f>906050*2</f>
        <v>1812100</v>
      </c>
      <c r="Q9" s="5">
        <f t="shared" si="5"/>
        <v>6870500</v>
      </c>
      <c r="R9" s="5">
        <v>4740000</v>
      </c>
      <c r="S9" s="5">
        <f>1065250*2</f>
        <v>2130500</v>
      </c>
      <c r="T9" s="5">
        <f t="shared" si="7"/>
        <v>5521400</v>
      </c>
      <c r="U9" s="5">
        <v>2845000</v>
      </c>
      <c r="V9" s="5">
        <v>2676400</v>
      </c>
      <c r="W9" s="8">
        <f t="shared" si="8"/>
        <v>8950529.5</v>
      </c>
      <c r="X9" s="8">
        <v>8020000</v>
      </c>
      <c r="Y9" s="8">
        <f>465264.75+465264.75</f>
        <v>930529.5</v>
      </c>
      <c r="Z9" s="8"/>
      <c r="AA9" s="8"/>
      <c r="AB9" s="8"/>
      <c r="AC9" s="8"/>
      <c r="AD9" s="8"/>
      <c r="AE9" s="8"/>
    </row>
    <row r="10" spans="1:31" x14ac:dyDescent="0.25">
      <c r="A10" s="1">
        <v>2022</v>
      </c>
      <c r="B10" s="5">
        <f t="shared" si="0"/>
        <v>35979035.5</v>
      </c>
      <c r="C10" s="5">
        <f t="shared" si="6"/>
        <v>26745000</v>
      </c>
      <c r="D10" s="5">
        <f t="shared" si="9"/>
        <v>9234035.5</v>
      </c>
      <c r="E10" s="5"/>
      <c r="F10" s="8"/>
      <c r="G10" s="5"/>
      <c r="H10" s="5"/>
      <c r="I10" s="5"/>
      <c r="J10" s="5"/>
      <c r="K10" s="5">
        <f t="shared" si="3"/>
        <v>8436000</v>
      </c>
      <c r="L10" s="5">
        <v>5995000</v>
      </c>
      <c r="M10" s="5">
        <f>1220500*2</f>
        <v>2441000</v>
      </c>
      <c r="N10" s="5">
        <f t="shared" si="4"/>
        <v>6197850</v>
      </c>
      <c r="O10" s="5">
        <v>4605000</v>
      </c>
      <c r="P10" s="5">
        <f>796425*2</f>
        <v>1592850</v>
      </c>
      <c r="Q10" s="5">
        <f t="shared" si="5"/>
        <v>6878500</v>
      </c>
      <c r="R10" s="5">
        <v>4985000</v>
      </c>
      <c r="S10" s="5">
        <f>946750*2</f>
        <v>1893500</v>
      </c>
      <c r="T10" s="5">
        <f t="shared" si="7"/>
        <v>5519150</v>
      </c>
      <c r="U10" s="5">
        <v>2985000</v>
      </c>
      <c r="V10" s="5">
        <v>2534150</v>
      </c>
      <c r="W10" s="8">
        <f t="shared" si="8"/>
        <v>8947535.5</v>
      </c>
      <c r="X10" s="8">
        <v>8175000</v>
      </c>
      <c r="Y10" s="8">
        <f>386267.75+386267.75</f>
        <v>772535.5</v>
      </c>
      <c r="Z10" s="8"/>
      <c r="AA10" s="8"/>
      <c r="AB10" s="8"/>
      <c r="AC10" s="8"/>
      <c r="AD10" s="8"/>
      <c r="AE10" s="8"/>
    </row>
    <row r="11" spans="1:31" x14ac:dyDescent="0.25">
      <c r="A11" s="1">
        <v>2023</v>
      </c>
      <c r="B11" s="5">
        <f t="shared" si="0"/>
        <v>34079488</v>
      </c>
      <c r="C11" s="5">
        <f t="shared" si="6"/>
        <v>25935000</v>
      </c>
      <c r="D11" s="5">
        <f t="shared" si="9"/>
        <v>8144488</v>
      </c>
      <c r="E11" s="5"/>
      <c r="F11" s="8"/>
      <c r="G11" s="5"/>
      <c r="H11" s="5"/>
      <c r="I11" s="5"/>
      <c r="J11" s="5"/>
      <c r="K11" s="5">
        <f t="shared" si="3"/>
        <v>8436250</v>
      </c>
      <c r="L11" s="5">
        <v>6295000</v>
      </c>
      <c r="M11" s="5">
        <f>1070625*2</f>
        <v>2141250</v>
      </c>
      <c r="N11" s="5">
        <f t="shared" si="4"/>
        <v>4302600</v>
      </c>
      <c r="O11" s="5">
        <v>2940000</v>
      </c>
      <c r="P11" s="5">
        <f>681300*2</f>
        <v>1362600</v>
      </c>
      <c r="Q11" s="5">
        <f t="shared" si="5"/>
        <v>6879250</v>
      </c>
      <c r="R11" s="5">
        <v>5235000</v>
      </c>
      <c r="S11" s="5">
        <f>822125*2</f>
        <v>1644250</v>
      </c>
      <c r="T11" s="5">
        <f t="shared" si="7"/>
        <v>5519900</v>
      </c>
      <c r="U11" s="5">
        <v>3135000</v>
      </c>
      <c r="V11" s="5">
        <v>2384900</v>
      </c>
      <c r="W11" s="8">
        <f t="shared" si="8"/>
        <v>8941488</v>
      </c>
      <c r="X11" s="8">
        <v>8330000</v>
      </c>
      <c r="Y11" s="8">
        <v>611488</v>
      </c>
      <c r="Z11" s="8"/>
      <c r="AA11" s="8"/>
      <c r="AB11" s="8"/>
      <c r="AC11" s="8"/>
      <c r="AD11" s="8"/>
      <c r="AE11" s="8"/>
    </row>
    <row r="12" spans="1:31" x14ac:dyDescent="0.25">
      <c r="A12" s="1">
        <v>2024</v>
      </c>
      <c r="B12" s="5">
        <f t="shared" si="0"/>
        <v>34099537</v>
      </c>
      <c r="C12" s="5">
        <f t="shared" si="6"/>
        <v>26970000</v>
      </c>
      <c r="D12" s="5">
        <f t="shared" si="9"/>
        <v>7129537</v>
      </c>
      <c r="E12" s="5"/>
      <c r="F12" s="8"/>
      <c r="G12" s="5"/>
      <c r="H12" s="5"/>
      <c r="I12" s="5"/>
      <c r="J12" s="5"/>
      <c r="K12" s="5">
        <f t="shared" si="3"/>
        <v>8436500</v>
      </c>
      <c r="L12" s="5">
        <v>6610000</v>
      </c>
      <c r="M12" s="5">
        <f>913250*2</f>
        <v>1826500</v>
      </c>
      <c r="N12" s="5">
        <f t="shared" si="4"/>
        <v>4305000</v>
      </c>
      <c r="O12" s="5">
        <v>3060000</v>
      </c>
      <c r="P12" s="5">
        <f>622500*2</f>
        <v>1245000</v>
      </c>
      <c r="Q12" s="5">
        <f t="shared" si="5"/>
        <v>6892500</v>
      </c>
      <c r="R12" s="5">
        <v>5510000</v>
      </c>
      <c r="S12" s="5">
        <f>691250*2</f>
        <v>1382500</v>
      </c>
      <c r="T12" s="5">
        <f t="shared" si="7"/>
        <v>5523150</v>
      </c>
      <c r="U12" s="5">
        <v>3295000</v>
      </c>
      <c r="V12" s="5">
        <v>2228150</v>
      </c>
      <c r="W12" s="8">
        <f t="shared" si="8"/>
        <v>8942387</v>
      </c>
      <c r="X12" s="8">
        <v>8495000</v>
      </c>
      <c r="Y12" s="8">
        <f>223693.5+223693.5</f>
        <v>447387</v>
      </c>
      <c r="Z12" s="8"/>
      <c r="AA12" s="8"/>
      <c r="AB12" s="8"/>
      <c r="AC12" s="8"/>
      <c r="AD12" s="8"/>
      <c r="AE12" s="8"/>
    </row>
    <row r="13" spans="1:31" x14ac:dyDescent="0.25">
      <c r="A13" s="1">
        <v>2025</v>
      </c>
      <c r="B13" s="5">
        <f t="shared" si="0"/>
        <v>31483435.5</v>
      </c>
      <c r="C13" s="5">
        <f t="shared" si="6"/>
        <v>25445000</v>
      </c>
      <c r="D13" s="5">
        <f t="shared" si="9"/>
        <v>6038435.5</v>
      </c>
      <c r="E13" s="5"/>
      <c r="F13" s="8"/>
      <c r="G13" s="5"/>
      <c r="H13" s="5"/>
      <c r="I13" s="5"/>
      <c r="J13" s="5"/>
      <c r="K13" s="5">
        <f t="shared" si="3"/>
        <v>8436000</v>
      </c>
      <c r="L13" s="5">
        <v>6940000</v>
      </c>
      <c r="M13" s="5">
        <f>748000*2</f>
        <v>1496000</v>
      </c>
      <c r="N13" s="5">
        <f t="shared" si="4"/>
        <v>4302000</v>
      </c>
      <c r="O13" s="5">
        <v>3210000</v>
      </c>
      <c r="P13" s="5">
        <f>546000*2</f>
        <v>1092000</v>
      </c>
      <c r="Q13" s="5">
        <f t="shared" si="5"/>
        <v>4277000</v>
      </c>
      <c r="R13" s="5">
        <v>3170000</v>
      </c>
      <c r="S13" s="5">
        <f>553500*2</f>
        <v>1107000</v>
      </c>
      <c r="T13" s="5">
        <f t="shared" si="7"/>
        <v>5523400</v>
      </c>
      <c r="U13" s="5">
        <v>3460000</v>
      </c>
      <c r="V13" s="5">
        <v>2063400</v>
      </c>
      <c r="W13" s="8">
        <f t="shared" si="8"/>
        <v>8945035.5</v>
      </c>
      <c r="X13" s="8">
        <v>8665000</v>
      </c>
      <c r="Y13" s="8">
        <f>140017.75+140017.75</f>
        <v>280035.5</v>
      </c>
      <c r="Z13" s="8"/>
      <c r="AA13" s="8"/>
      <c r="AB13" s="8"/>
      <c r="AC13" s="8"/>
      <c r="AD13" s="8"/>
      <c r="AE13" s="8"/>
    </row>
    <row r="14" spans="1:31" x14ac:dyDescent="0.25">
      <c r="A14" s="1">
        <v>2026</v>
      </c>
      <c r="B14" s="5">
        <f t="shared" si="0"/>
        <v>29843735</v>
      </c>
      <c r="C14" s="5">
        <f t="shared" si="6"/>
        <v>24815000</v>
      </c>
      <c r="D14" s="5">
        <f t="shared" si="9"/>
        <v>5028735</v>
      </c>
      <c r="E14" s="5"/>
      <c r="F14" s="8"/>
      <c r="G14" s="5"/>
      <c r="H14" s="5"/>
      <c r="I14" s="5"/>
      <c r="J14" s="5"/>
      <c r="K14" s="5">
        <f t="shared" si="3"/>
        <v>8439000</v>
      </c>
      <c r="L14" s="5">
        <v>7290000</v>
      </c>
      <c r="M14" s="5">
        <f>574500*2</f>
        <v>1149000</v>
      </c>
      <c r="N14" s="5">
        <f t="shared" si="4"/>
        <v>4301500</v>
      </c>
      <c r="O14" s="5">
        <v>3370000</v>
      </c>
      <c r="P14" s="5">
        <f>465750*2</f>
        <v>931500</v>
      </c>
      <c r="Q14" s="5">
        <f t="shared" si="5"/>
        <v>2933500</v>
      </c>
      <c r="R14" s="5">
        <v>1985000</v>
      </c>
      <c r="S14" s="5">
        <f>474250*2</f>
        <v>948500</v>
      </c>
      <c r="T14" s="5">
        <f t="shared" si="7"/>
        <v>8510400</v>
      </c>
      <c r="U14" s="5">
        <v>6620000</v>
      </c>
      <c r="V14" s="5">
        <v>1890400</v>
      </c>
      <c r="W14" s="8">
        <f t="shared" si="8"/>
        <v>5659335</v>
      </c>
      <c r="X14" s="8">
        <v>5550000</v>
      </c>
      <c r="Y14" s="8">
        <f>54667.5+54667.5</f>
        <v>109335</v>
      </c>
      <c r="Z14" s="8"/>
      <c r="AA14" s="8"/>
      <c r="AB14" s="8"/>
      <c r="AC14" s="8"/>
      <c r="AD14" s="8"/>
      <c r="AE14" s="8"/>
    </row>
    <row r="15" spans="1:31" x14ac:dyDescent="0.25">
      <c r="A15" s="1">
        <v>2027</v>
      </c>
      <c r="B15" s="5">
        <f t="shared" si="0"/>
        <v>24183550</v>
      </c>
      <c r="C15" s="5">
        <f t="shared" si="6"/>
        <v>20095000</v>
      </c>
      <c r="D15" s="5">
        <f t="shared" si="9"/>
        <v>4088550</v>
      </c>
      <c r="E15" s="5"/>
      <c r="F15" s="5"/>
      <c r="G15" s="5"/>
      <c r="H15" s="5"/>
      <c r="I15" s="5"/>
      <c r="J15" s="5"/>
      <c r="K15" s="5">
        <f t="shared" si="3"/>
        <v>8434500</v>
      </c>
      <c r="L15" s="5">
        <v>7650000</v>
      </c>
      <c r="M15" s="5">
        <f>392250*2</f>
        <v>784500</v>
      </c>
      <c r="N15" s="5">
        <f t="shared" si="4"/>
        <v>4303000</v>
      </c>
      <c r="O15" s="5">
        <v>3540000</v>
      </c>
      <c r="P15" s="5">
        <f>381500*2</f>
        <v>763000</v>
      </c>
      <c r="Q15" s="5">
        <f t="shared" si="5"/>
        <v>2934250</v>
      </c>
      <c r="R15" s="5">
        <v>2085000</v>
      </c>
      <c r="S15" s="5">
        <f>424625*2</f>
        <v>849250</v>
      </c>
      <c r="T15" s="5">
        <f t="shared" si="7"/>
        <v>8511800</v>
      </c>
      <c r="U15" s="5">
        <v>6820000</v>
      </c>
      <c r="V15" s="5">
        <v>1691800</v>
      </c>
      <c r="Z15" s="8"/>
      <c r="AA15" s="8"/>
      <c r="AB15" s="8"/>
      <c r="AC15" s="23"/>
      <c r="AD15" s="8"/>
      <c r="AE15" s="8"/>
    </row>
    <row r="16" spans="1:31" x14ac:dyDescent="0.25">
      <c r="A16" s="1">
        <v>2028</v>
      </c>
      <c r="B16" s="5">
        <f t="shared" si="0"/>
        <v>20309050</v>
      </c>
      <c r="C16" s="5">
        <f t="shared" si="6"/>
        <v>17140000</v>
      </c>
      <c r="D16" s="5">
        <f t="shared" si="9"/>
        <v>3169050</v>
      </c>
      <c r="E16" s="5"/>
      <c r="F16" s="5"/>
      <c r="G16" s="5"/>
      <c r="H16" s="5"/>
      <c r="I16" s="5"/>
      <c r="J16" s="5"/>
      <c r="K16" s="5">
        <f t="shared" si="3"/>
        <v>8442000</v>
      </c>
      <c r="L16" s="5">
        <v>8040000</v>
      </c>
      <c r="M16" s="5">
        <f>201000*2</f>
        <v>402000</v>
      </c>
      <c r="N16" s="5">
        <f t="shared" si="4"/>
        <v>4301000</v>
      </c>
      <c r="O16" s="5">
        <v>3715000</v>
      </c>
      <c r="P16" s="5">
        <f>293000*2</f>
        <v>586000</v>
      </c>
      <c r="Q16" s="5">
        <f t="shared" si="5"/>
        <v>2935000</v>
      </c>
      <c r="R16" s="5">
        <v>2190000</v>
      </c>
      <c r="S16" s="5">
        <f>372500*2</f>
        <v>745000</v>
      </c>
      <c r="T16" s="5">
        <f t="shared" si="7"/>
        <v>4631050</v>
      </c>
      <c r="U16" s="8">
        <v>3195000</v>
      </c>
      <c r="V16" s="5">
        <v>1436050</v>
      </c>
      <c r="Z16" s="8"/>
      <c r="AA16" s="8"/>
      <c r="AB16" s="8"/>
      <c r="AC16" s="23"/>
      <c r="AD16" s="8"/>
      <c r="AE16" s="8"/>
    </row>
    <row r="17" spans="1:31" x14ac:dyDescent="0.25">
      <c r="A17" s="1">
        <v>2029</v>
      </c>
      <c r="B17" s="5">
        <f t="shared" si="0"/>
        <v>11874000</v>
      </c>
      <c r="C17" s="5">
        <f t="shared" si="6"/>
        <v>9530000</v>
      </c>
      <c r="D17" s="5">
        <f t="shared" si="9"/>
        <v>2344000</v>
      </c>
      <c r="E17" s="5"/>
      <c r="F17" s="5"/>
      <c r="G17" s="5"/>
      <c r="H17" s="5"/>
      <c r="I17" s="5"/>
      <c r="J17" s="5"/>
      <c r="K17" s="5"/>
      <c r="L17" s="5"/>
      <c r="M17" s="5"/>
      <c r="N17" s="5">
        <f t="shared" si="4"/>
        <v>4305250</v>
      </c>
      <c r="O17" s="5">
        <v>3905000</v>
      </c>
      <c r="P17" s="5">
        <f>200125*2</f>
        <v>400250</v>
      </c>
      <c r="Q17" s="5">
        <f t="shared" si="5"/>
        <v>2935500</v>
      </c>
      <c r="R17" s="5">
        <v>2300000</v>
      </c>
      <c r="S17" s="5">
        <f>317750*2</f>
        <v>635500</v>
      </c>
      <c r="T17" s="5">
        <f t="shared" si="7"/>
        <v>4633250</v>
      </c>
      <c r="U17" s="8">
        <v>3325000</v>
      </c>
      <c r="V17" s="5">
        <v>1308250</v>
      </c>
      <c r="Z17" s="8"/>
      <c r="AA17" s="8"/>
      <c r="AB17" s="8"/>
      <c r="AC17" s="23"/>
      <c r="AD17" s="8"/>
      <c r="AE17" s="8"/>
    </row>
    <row r="18" spans="1:31" x14ac:dyDescent="0.25">
      <c r="A18" s="1">
        <v>2030</v>
      </c>
      <c r="B18" s="5">
        <f t="shared" si="0"/>
        <v>11870750</v>
      </c>
      <c r="C18" s="5">
        <f t="shared" si="6"/>
        <v>9970000</v>
      </c>
      <c r="D18" s="5">
        <f t="shared" si="9"/>
        <v>1900750</v>
      </c>
      <c r="E18" s="5"/>
      <c r="F18" s="5"/>
      <c r="G18" s="5"/>
      <c r="H18" s="5"/>
      <c r="I18" s="5"/>
      <c r="J18" s="5"/>
      <c r="K18" s="5"/>
      <c r="L18" s="5"/>
      <c r="M18" s="5"/>
      <c r="N18" s="5">
        <f t="shared" si="4"/>
        <v>4305000</v>
      </c>
      <c r="O18" s="5">
        <v>4100000</v>
      </c>
      <c r="P18" s="5">
        <f>102500*2</f>
        <v>205000</v>
      </c>
      <c r="Q18" s="5">
        <f t="shared" si="5"/>
        <v>2935500</v>
      </c>
      <c r="R18" s="5">
        <v>2415000</v>
      </c>
      <c r="S18" s="5">
        <f>260250*2</f>
        <v>520500</v>
      </c>
      <c r="T18" s="5">
        <f t="shared" si="7"/>
        <v>4630250</v>
      </c>
      <c r="U18" s="8">
        <v>3455000</v>
      </c>
      <c r="V18" s="5">
        <v>1175250</v>
      </c>
      <c r="Z18" s="8"/>
      <c r="AA18" s="8"/>
      <c r="AB18" s="8"/>
      <c r="AC18" s="23"/>
      <c r="AD18" s="8"/>
      <c r="AE18" s="8"/>
    </row>
    <row r="19" spans="1:31" x14ac:dyDescent="0.25">
      <c r="A19" s="1">
        <v>2031</v>
      </c>
      <c r="B19" s="5">
        <f t="shared" si="0"/>
        <v>7567250</v>
      </c>
      <c r="C19" s="5">
        <f t="shared" si="6"/>
        <v>6165000</v>
      </c>
      <c r="D19" s="5">
        <f t="shared" si="9"/>
        <v>1402250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f t="shared" si="5"/>
        <v>2934750</v>
      </c>
      <c r="R19" s="5">
        <v>2535000</v>
      </c>
      <c r="S19" s="5">
        <f>199875*2</f>
        <v>399750</v>
      </c>
      <c r="T19" s="5">
        <f t="shared" si="7"/>
        <v>4632500</v>
      </c>
      <c r="U19" s="8">
        <v>3630000</v>
      </c>
      <c r="V19" s="5">
        <v>1002500</v>
      </c>
      <c r="Z19" s="8"/>
      <c r="AA19" s="8"/>
      <c r="AB19" s="8"/>
      <c r="AC19" s="23"/>
      <c r="AD19" s="23"/>
      <c r="AE19" s="8"/>
    </row>
    <row r="20" spans="1:31" x14ac:dyDescent="0.25">
      <c r="A20" s="1">
        <v>2032</v>
      </c>
      <c r="B20" s="5">
        <f t="shared" si="0"/>
        <v>7569000</v>
      </c>
      <c r="C20" s="5">
        <f t="shared" si="6"/>
        <v>6475000</v>
      </c>
      <c r="D20" s="5">
        <f t="shared" si="9"/>
        <v>1094000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f t="shared" si="5"/>
        <v>2938000</v>
      </c>
      <c r="R20" s="5">
        <v>2665000</v>
      </c>
      <c r="S20" s="5">
        <f>136500*2</f>
        <v>273000</v>
      </c>
      <c r="T20" s="5">
        <f t="shared" si="7"/>
        <v>4631000</v>
      </c>
      <c r="U20" s="8">
        <v>3810000</v>
      </c>
      <c r="V20" s="5">
        <v>821000</v>
      </c>
      <c r="Z20" s="8"/>
      <c r="AA20" s="8"/>
      <c r="AB20" s="8"/>
      <c r="AC20" s="23"/>
      <c r="AD20" s="23"/>
      <c r="AE20" s="23"/>
    </row>
    <row r="21" spans="1:31" x14ac:dyDescent="0.25">
      <c r="A21" s="1">
        <v>2033</v>
      </c>
      <c r="B21" s="5">
        <f t="shared" si="0"/>
        <v>7565250</v>
      </c>
      <c r="C21" s="5">
        <f t="shared" si="6"/>
        <v>6795000</v>
      </c>
      <c r="D21" s="5">
        <f t="shared" si="9"/>
        <v>770250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>
        <f t="shared" si="5"/>
        <v>2934750</v>
      </c>
      <c r="R21" s="5">
        <v>2795000</v>
      </c>
      <c r="S21" s="5">
        <f>69875*2</f>
        <v>139750</v>
      </c>
      <c r="T21" s="8">
        <f t="shared" si="7"/>
        <v>4630500</v>
      </c>
      <c r="U21" s="8">
        <v>4000000</v>
      </c>
      <c r="V21" s="8">
        <v>630500</v>
      </c>
      <c r="Z21" s="8"/>
      <c r="AA21" s="8"/>
      <c r="AB21" s="8"/>
      <c r="AC21" s="23"/>
      <c r="AD21" s="23"/>
      <c r="AE21" s="23"/>
    </row>
    <row r="22" spans="1:31" x14ac:dyDescent="0.25">
      <c r="A22" s="1">
        <v>2034</v>
      </c>
      <c r="B22" s="5">
        <f t="shared" si="0"/>
        <v>4630500</v>
      </c>
      <c r="C22" s="5">
        <f t="shared" si="6"/>
        <v>4200000</v>
      </c>
      <c r="D22" s="5">
        <f t="shared" si="9"/>
        <v>430500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8">
        <f t="shared" si="7"/>
        <v>4630500</v>
      </c>
      <c r="U22" s="8">
        <v>4200000</v>
      </c>
      <c r="V22" s="8">
        <v>430500</v>
      </c>
      <c r="Z22" s="8"/>
      <c r="AA22" s="8"/>
      <c r="AB22" s="8"/>
      <c r="AC22" s="23"/>
      <c r="AD22" s="23"/>
      <c r="AE22" s="23"/>
    </row>
    <row r="23" spans="1:31" x14ac:dyDescent="0.25">
      <c r="A23" s="1">
        <v>2035</v>
      </c>
      <c r="B23" s="5">
        <f t="shared" si="0"/>
        <v>4630500</v>
      </c>
      <c r="C23" s="5">
        <f t="shared" si="6"/>
        <v>4410000</v>
      </c>
      <c r="D23" s="5">
        <f t="shared" si="9"/>
        <v>220500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7"/>
      <c r="R23" s="17"/>
      <c r="S23" s="17"/>
      <c r="T23" s="18">
        <f t="shared" si="7"/>
        <v>4630500</v>
      </c>
      <c r="U23" s="18">
        <v>4410000</v>
      </c>
      <c r="V23" s="18">
        <v>220500</v>
      </c>
      <c r="Z23" s="8"/>
      <c r="AA23" s="8"/>
      <c r="AB23" s="8"/>
      <c r="AC23" s="23"/>
      <c r="AD23" s="23"/>
      <c r="AE23" s="23"/>
    </row>
    <row r="24" spans="1:31" ht="15.75" thickBot="1" x14ac:dyDescent="0.3">
      <c r="A24" s="15" t="s">
        <v>4</v>
      </c>
      <c r="B24" s="6">
        <f>SUM(B4:B23)</f>
        <v>487922062.14999998</v>
      </c>
      <c r="C24" s="6">
        <f>SUM(C4:C23)</f>
        <v>361420000</v>
      </c>
      <c r="D24" s="6">
        <f>SUM(D4:D23)</f>
        <v>126502062.15000001</v>
      </c>
      <c r="E24" s="6">
        <f t="shared" ref="E24:S24" si="10">SUM(E4:E21)</f>
        <v>3979500</v>
      </c>
      <c r="F24" s="6">
        <f t="shared" si="10"/>
        <v>3790000</v>
      </c>
      <c r="G24" s="6">
        <f t="shared" si="10"/>
        <v>189500</v>
      </c>
      <c r="H24" s="6">
        <f t="shared" si="10"/>
        <v>5114500</v>
      </c>
      <c r="I24" s="6">
        <f t="shared" si="10"/>
        <v>4755000</v>
      </c>
      <c r="J24" s="6">
        <f t="shared" si="10"/>
        <v>359500</v>
      </c>
      <c r="K24" s="6">
        <f t="shared" si="10"/>
        <v>109683100</v>
      </c>
      <c r="L24" s="6">
        <f t="shared" si="10"/>
        <v>79390000</v>
      </c>
      <c r="M24" s="6">
        <f t="shared" si="10"/>
        <v>30293100</v>
      </c>
      <c r="N24" s="6">
        <f t="shared" si="10"/>
        <v>77703000</v>
      </c>
      <c r="O24" s="6">
        <f t="shared" si="10"/>
        <v>55790000</v>
      </c>
      <c r="P24" s="6">
        <f t="shared" si="10"/>
        <v>21913000</v>
      </c>
      <c r="Q24" s="6">
        <f t="shared" si="10"/>
        <v>94668550</v>
      </c>
      <c r="R24" s="6">
        <f t="shared" si="10"/>
        <v>67640000</v>
      </c>
      <c r="S24" s="6">
        <f t="shared" si="10"/>
        <v>27028550</v>
      </c>
      <c r="T24" s="6">
        <f>SUM(T4:T23)</f>
        <v>103996415</v>
      </c>
      <c r="U24" s="6">
        <f>SUM(U4:U23)</f>
        <v>67075000</v>
      </c>
      <c r="V24" s="6">
        <f>SUM(V4:V23)</f>
        <v>36921415</v>
      </c>
      <c r="W24" s="6">
        <f t="shared" ref="W24:Y24" si="11">SUM(W4:W23)</f>
        <v>92776997.150000006</v>
      </c>
      <c r="X24" s="6">
        <f t="shared" si="11"/>
        <v>82980000</v>
      </c>
      <c r="Y24" s="6">
        <f t="shared" si="11"/>
        <v>9796997.1500000004</v>
      </c>
      <c r="Z24" s="22"/>
      <c r="AA24" s="22"/>
      <c r="AB24" s="22"/>
      <c r="AC24" s="22"/>
      <c r="AD24" s="22"/>
      <c r="AE24" s="22"/>
    </row>
    <row r="25" spans="1:31" ht="15.75" thickTop="1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Z25" s="23"/>
      <c r="AA25" s="23"/>
      <c r="AB25" s="23"/>
      <c r="AC25" s="23"/>
      <c r="AD25" s="23"/>
      <c r="AE25" s="23"/>
    </row>
    <row r="26" spans="1:31" x14ac:dyDescent="0.25">
      <c r="B26" s="9"/>
      <c r="C26" s="8"/>
      <c r="D26" s="10"/>
      <c r="E26" s="10" t="s">
        <v>29</v>
      </c>
      <c r="F26" s="10" t="s">
        <v>29</v>
      </c>
      <c r="G26" s="10" t="s">
        <v>29</v>
      </c>
      <c r="H26" s="10" t="s">
        <v>31</v>
      </c>
      <c r="I26" s="10" t="s">
        <v>29</v>
      </c>
      <c r="J26" s="10" t="s">
        <v>29</v>
      </c>
      <c r="K26" s="10" t="s">
        <v>30</v>
      </c>
      <c r="L26" s="10" t="s">
        <v>36</v>
      </c>
      <c r="M26" s="10"/>
      <c r="N26" s="10"/>
      <c r="O26" s="10"/>
      <c r="P26" s="10"/>
      <c r="Q26" s="10"/>
      <c r="R26" s="11"/>
      <c r="S26" s="10"/>
      <c r="T26" t="s">
        <v>22</v>
      </c>
      <c r="W26" t="s">
        <v>17</v>
      </c>
    </row>
    <row r="27" spans="1:31" x14ac:dyDescent="0.25">
      <c r="D27" s="10"/>
      <c r="E27" s="10"/>
      <c r="F27" s="10"/>
      <c r="G27" s="10"/>
      <c r="H27" s="10"/>
      <c r="I27" s="10" t="s">
        <v>33</v>
      </c>
      <c r="J27" s="10"/>
      <c r="K27" s="10"/>
      <c r="L27" s="10">
        <v>4980000</v>
      </c>
      <c r="M27" s="10"/>
      <c r="N27" s="10"/>
      <c r="O27" s="10"/>
      <c r="P27" s="10"/>
      <c r="Q27" s="10"/>
      <c r="R27" s="10"/>
      <c r="S27" s="10"/>
      <c r="T27" t="s">
        <v>23</v>
      </c>
      <c r="W27" t="s">
        <v>24</v>
      </c>
    </row>
    <row r="28" spans="1:31" x14ac:dyDescent="0.25">
      <c r="B28" s="10"/>
      <c r="C28" s="10"/>
      <c r="D28" s="10"/>
      <c r="E28" s="10"/>
      <c r="F28" s="10"/>
      <c r="G28" s="10"/>
      <c r="H28" s="10"/>
      <c r="I28" s="10" t="s">
        <v>32</v>
      </c>
      <c r="J28" s="10"/>
      <c r="K28" s="10"/>
      <c r="L28" s="10" t="s">
        <v>34</v>
      </c>
      <c r="M28" s="10"/>
      <c r="N28" s="10"/>
      <c r="O28" s="10"/>
      <c r="P28" s="10"/>
      <c r="Q28" s="10"/>
      <c r="R28" s="10"/>
      <c r="S28" s="10"/>
    </row>
    <row r="29" spans="1:31" x14ac:dyDescent="0.25">
      <c r="D29" s="10"/>
      <c r="E29" s="10"/>
      <c r="F29" s="10"/>
      <c r="G29" s="10"/>
      <c r="H29" s="10"/>
      <c r="I29" s="10"/>
      <c r="J29" s="10"/>
      <c r="K29" s="10"/>
      <c r="L29" s="10" t="s">
        <v>35</v>
      </c>
      <c r="M29" s="10"/>
      <c r="N29" s="10"/>
      <c r="O29" s="10"/>
      <c r="P29" s="10"/>
      <c r="Q29" s="10"/>
      <c r="R29" s="10"/>
      <c r="S29" s="10"/>
    </row>
    <row r="30" spans="1:31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31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31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31" x14ac:dyDescent="0.25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31" ht="15.75" thickBot="1" x14ac:dyDescent="0.3">
      <c r="A34" s="24" t="s">
        <v>38</v>
      </c>
      <c r="B34" s="10"/>
      <c r="H34" s="3"/>
      <c r="I34" s="3"/>
      <c r="J34" s="3"/>
    </row>
    <row r="35" spans="1:31" x14ac:dyDescent="0.25">
      <c r="A35" s="12"/>
      <c r="B35" s="50" t="s">
        <v>1</v>
      </c>
      <c r="C35" s="50"/>
      <c r="D35" s="50"/>
      <c r="H35" s="54"/>
      <c r="I35" s="54"/>
      <c r="J35" s="54"/>
      <c r="K35" s="50" t="s">
        <v>8</v>
      </c>
      <c r="L35" s="50"/>
      <c r="M35" s="50"/>
      <c r="N35" s="50" t="s">
        <v>9</v>
      </c>
      <c r="O35" s="50"/>
      <c r="P35" s="50"/>
      <c r="Q35" s="50" t="s">
        <v>10</v>
      </c>
      <c r="R35" s="50"/>
      <c r="S35" s="50"/>
      <c r="T35" s="50" t="s">
        <v>19</v>
      </c>
      <c r="U35" s="50"/>
      <c r="V35" s="50"/>
      <c r="W35" s="50" t="s">
        <v>20</v>
      </c>
      <c r="X35" s="50"/>
      <c r="Y35" s="50"/>
      <c r="Z35" s="50" t="s">
        <v>25</v>
      </c>
      <c r="AA35" s="50"/>
      <c r="AB35" s="50"/>
      <c r="AC35" s="50" t="s">
        <v>27</v>
      </c>
      <c r="AD35" s="50"/>
      <c r="AE35" s="50"/>
    </row>
    <row r="36" spans="1:31" ht="15.75" thickBot="1" x14ac:dyDescent="0.3">
      <c r="A36" s="13"/>
      <c r="B36" s="14"/>
      <c r="C36" s="14"/>
      <c r="D36" s="14"/>
      <c r="H36" s="55"/>
      <c r="I36" s="55"/>
      <c r="J36" s="55"/>
      <c r="K36" s="52" t="s">
        <v>39</v>
      </c>
      <c r="L36" s="52"/>
      <c r="M36" s="52"/>
      <c r="N36" s="52" t="s">
        <v>37</v>
      </c>
      <c r="O36" s="52"/>
      <c r="P36" s="52"/>
      <c r="Q36" s="52" t="s">
        <v>14</v>
      </c>
      <c r="R36" s="52"/>
      <c r="S36" s="52"/>
      <c r="T36" s="52" t="s">
        <v>18</v>
      </c>
      <c r="U36" s="52"/>
      <c r="V36" s="52"/>
      <c r="W36" s="52" t="s">
        <v>21</v>
      </c>
      <c r="X36" s="52"/>
      <c r="Y36" s="52"/>
      <c r="Z36" s="52" t="s">
        <v>26</v>
      </c>
      <c r="AA36" s="52"/>
      <c r="AB36" s="52"/>
      <c r="AC36" s="52" t="s">
        <v>28</v>
      </c>
      <c r="AD36" s="52"/>
      <c r="AE36" s="52"/>
    </row>
    <row r="37" spans="1:31" x14ac:dyDescent="0.25">
      <c r="A37" s="1" t="s">
        <v>0</v>
      </c>
      <c r="B37" s="2" t="s">
        <v>1</v>
      </c>
      <c r="C37" s="3" t="s">
        <v>2</v>
      </c>
      <c r="D37" s="2" t="s">
        <v>3</v>
      </c>
      <c r="H37" s="21"/>
      <c r="I37" s="21"/>
      <c r="J37" s="21"/>
      <c r="K37" s="2" t="s">
        <v>1</v>
      </c>
      <c r="L37" s="2" t="s">
        <v>2</v>
      </c>
      <c r="M37" s="2" t="s">
        <v>3</v>
      </c>
      <c r="N37" s="2" t="s">
        <v>1</v>
      </c>
      <c r="O37" s="2" t="s">
        <v>2</v>
      </c>
      <c r="P37" s="2" t="s">
        <v>3</v>
      </c>
      <c r="Q37" s="2" t="s">
        <v>1</v>
      </c>
      <c r="R37" s="2" t="s">
        <v>2</v>
      </c>
      <c r="S37" s="2" t="s">
        <v>3</v>
      </c>
      <c r="T37" s="2" t="s">
        <v>1</v>
      </c>
      <c r="U37" s="2" t="s">
        <v>2</v>
      </c>
      <c r="V37" s="2" t="s">
        <v>3</v>
      </c>
      <c r="W37" s="2" t="s">
        <v>1</v>
      </c>
      <c r="X37" s="2" t="s">
        <v>2</v>
      </c>
      <c r="Y37" s="2" t="s">
        <v>3</v>
      </c>
      <c r="Z37" s="2" t="s">
        <v>1</v>
      </c>
      <c r="AA37" s="2" t="s">
        <v>2</v>
      </c>
      <c r="AB37" s="2" t="s">
        <v>3</v>
      </c>
      <c r="AC37" s="2" t="s">
        <v>1</v>
      </c>
      <c r="AD37" s="2" t="s">
        <v>2</v>
      </c>
      <c r="AE37" s="2" t="s">
        <v>3</v>
      </c>
    </row>
    <row r="38" spans="1:31" x14ac:dyDescent="0.25">
      <c r="A38" s="1">
        <v>2018</v>
      </c>
      <c r="B38" s="26">
        <f t="shared" ref="B38" si="12">SUM(C38:D38)</f>
        <v>37285533.469999999</v>
      </c>
      <c r="C38" s="26">
        <f t="shared" ref="C38:D38" si="13">+F38+I38+L38+O38+R38+U38+X38+AA38+AD38</f>
        <v>27295000</v>
      </c>
      <c r="D38" s="26">
        <f t="shared" si="13"/>
        <v>9990533.4700000007</v>
      </c>
      <c r="H38" s="5"/>
      <c r="I38" s="5"/>
      <c r="J38" s="5"/>
      <c r="K38" s="5">
        <f t="shared" ref="K38" si="14">SUM(L38:M38)</f>
        <v>5179200</v>
      </c>
      <c r="L38" s="5">
        <v>4980000</v>
      </c>
      <c r="M38" s="5">
        <f>99600+99600</f>
        <v>199200</v>
      </c>
      <c r="N38" s="5">
        <f t="shared" ref="N38:N42" si="15">SUM(O38:P38)</f>
        <v>4541250</v>
      </c>
      <c r="O38" s="5">
        <v>3770000</v>
      </c>
      <c r="P38" s="5">
        <f>385625+385625</f>
        <v>771250</v>
      </c>
      <c r="Q38" s="26">
        <f t="shared" ref="Q38:Q53" si="16">SUM(R38:S38)</f>
        <v>8149250</v>
      </c>
      <c r="R38" s="26">
        <v>5255000</v>
      </c>
      <c r="S38" s="5">
        <f>1447125*2</f>
        <v>2894250</v>
      </c>
      <c r="T38" s="26">
        <f>SUM(U38:V38)</f>
        <v>5523900</v>
      </c>
      <c r="U38" s="26">
        <v>2460000</v>
      </c>
      <c r="V38" s="26">
        <v>3063900</v>
      </c>
      <c r="W38" s="27">
        <f t="shared" ref="W38:W46" si="17">SUM(X38:Y38)</f>
        <v>9356852</v>
      </c>
      <c r="X38" s="27">
        <v>7955000</v>
      </c>
      <c r="Y38" s="27">
        <v>1401852</v>
      </c>
      <c r="Z38" s="29">
        <f>SUM(AA38:AB38)</f>
        <v>3254540</v>
      </c>
      <c r="AA38" s="26">
        <v>2240000</v>
      </c>
      <c r="AB38" s="26">
        <f>507270+507270</f>
        <v>1014540</v>
      </c>
      <c r="AC38" s="27">
        <f>SUM(AD38:AE38)</f>
        <v>1280541.47</v>
      </c>
      <c r="AD38" s="27">
        <v>635000</v>
      </c>
      <c r="AE38" s="27">
        <f>252982.47+392559</f>
        <v>645541.47</v>
      </c>
    </row>
    <row r="39" spans="1:31" x14ac:dyDescent="0.25">
      <c r="A39" s="1">
        <v>2019</v>
      </c>
      <c r="B39" s="26">
        <f t="shared" ref="B39:B55" si="18">SUM(C39:D39)</f>
        <v>37278269</v>
      </c>
      <c r="C39" s="26">
        <f t="shared" ref="C39:C55" si="19">+F39+I39+L39+O39+R39+U39+X39+AA39+AD39</f>
        <v>28125000</v>
      </c>
      <c r="D39" s="26">
        <f t="shared" ref="D39:D55" si="20">+G39+J39+M39+P39+S39+V39+Y39+AB39+AE39</f>
        <v>9153269</v>
      </c>
      <c r="H39" s="5"/>
      <c r="I39" s="5"/>
      <c r="J39" s="5"/>
      <c r="K39" s="5"/>
      <c r="L39" s="5"/>
      <c r="M39" s="5"/>
      <c r="N39" s="5">
        <f t="shared" si="15"/>
        <v>4547750</v>
      </c>
      <c r="O39" s="5">
        <v>3965000</v>
      </c>
      <c r="P39" s="5">
        <f>291375+291375</f>
        <v>582750</v>
      </c>
      <c r="Q39" s="26">
        <f t="shared" si="16"/>
        <v>8141500</v>
      </c>
      <c r="R39" s="26">
        <v>5510000</v>
      </c>
      <c r="S39" s="5">
        <f>1315750*2</f>
        <v>2631500</v>
      </c>
      <c r="T39" s="26">
        <f t="shared" ref="T39:T55" si="21">SUM(U39:V39)</f>
        <v>5520900</v>
      </c>
      <c r="U39" s="26">
        <v>2580000</v>
      </c>
      <c r="V39" s="26">
        <v>2940900</v>
      </c>
      <c r="W39" s="27">
        <f t="shared" si="17"/>
        <v>9355138.5</v>
      </c>
      <c r="X39" s="27">
        <v>8110000</v>
      </c>
      <c r="Y39" s="27">
        <f>622569.25+622569.25</f>
        <v>1245138.5</v>
      </c>
      <c r="Z39" s="29">
        <f t="shared" ref="Z39:Z48" si="22">SUM(AA39:AB39)</f>
        <v>8436388</v>
      </c>
      <c r="AA39" s="26">
        <v>7455000</v>
      </c>
      <c r="AB39" s="26">
        <f>490694+490694</f>
        <v>981388</v>
      </c>
      <c r="AC39" s="27">
        <f t="shared" ref="AC39:AC50" si="23">SUM(AD39:AE39)</f>
        <v>1276592.5</v>
      </c>
      <c r="AD39" s="27">
        <v>505000</v>
      </c>
      <c r="AE39" s="27">
        <f>385796.25+385796.25</f>
        <v>771592.5</v>
      </c>
    </row>
    <row r="40" spans="1:31" x14ac:dyDescent="0.25">
      <c r="A40" s="1">
        <v>2020</v>
      </c>
      <c r="B40" s="26">
        <f t="shared" si="18"/>
        <v>34199661.5</v>
      </c>
      <c r="C40" s="26">
        <f t="shared" si="19"/>
        <v>25930000</v>
      </c>
      <c r="D40" s="26">
        <f t="shared" si="20"/>
        <v>8269661.5</v>
      </c>
      <c r="H40" s="5"/>
      <c r="I40" s="5"/>
      <c r="J40" s="5"/>
      <c r="K40" s="5"/>
      <c r="L40" s="5"/>
      <c r="M40" s="5"/>
      <c r="N40" s="5">
        <f t="shared" si="15"/>
        <v>4554500</v>
      </c>
      <c r="O40" s="5">
        <v>4170000</v>
      </c>
      <c r="P40" s="5">
        <f>192250+192250</f>
        <v>384500</v>
      </c>
      <c r="Q40" s="26">
        <f t="shared" si="16"/>
        <v>6866000</v>
      </c>
      <c r="R40" s="26">
        <v>4510000</v>
      </c>
      <c r="S40" s="5">
        <f>1178000*2</f>
        <v>2356000</v>
      </c>
      <c r="T40" s="26">
        <f t="shared" si="21"/>
        <v>5521900</v>
      </c>
      <c r="U40" s="26">
        <v>2710000</v>
      </c>
      <c r="V40" s="26">
        <v>2811900</v>
      </c>
      <c r="W40" s="27">
        <f t="shared" si="17"/>
        <v>8945371.5</v>
      </c>
      <c r="X40" s="27">
        <v>7860000</v>
      </c>
      <c r="Y40" s="27">
        <f>542685.75+542685.75</f>
        <v>1085371.5</v>
      </c>
      <c r="Z40" s="29">
        <f t="shared" si="22"/>
        <v>7036054</v>
      </c>
      <c r="AA40" s="26">
        <v>6165000</v>
      </c>
      <c r="AB40" s="26">
        <f>435527+435527</f>
        <v>871054</v>
      </c>
      <c r="AC40" s="27">
        <f t="shared" si="23"/>
        <v>1275836</v>
      </c>
      <c r="AD40" s="27">
        <v>515000</v>
      </c>
      <c r="AE40" s="27">
        <f>380418+380418</f>
        <v>760836</v>
      </c>
    </row>
    <row r="41" spans="1:31" x14ac:dyDescent="0.25">
      <c r="A41" s="1">
        <v>2021</v>
      </c>
      <c r="B41" s="26">
        <f t="shared" si="18"/>
        <v>34213108</v>
      </c>
      <c r="C41" s="26">
        <f t="shared" si="19"/>
        <v>26770000</v>
      </c>
      <c r="D41" s="26">
        <f t="shared" si="20"/>
        <v>7443108</v>
      </c>
      <c r="H41" s="5"/>
      <c r="I41" s="5"/>
      <c r="J41" s="5"/>
      <c r="K41" s="5"/>
      <c r="L41" s="5"/>
      <c r="M41" s="5"/>
      <c r="N41" s="5">
        <f t="shared" si="15"/>
        <v>1891000</v>
      </c>
      <c r="O41" s="5">
        <v>1715000</v>
      </c>
      <c r="P41" s="5">
        <f>88000+88000</f>
        <v>176000</v>
      </c>
      <c r="Q41" s="26">
        <f t="shared" si="16"/>
        <v>6870500</v>
      </c>
      <c r="R41" s="26">
        <v>4740000</v>
      </c>
      <c r="S41" s="5">
        <f>1065250*2</f>
        <v>2130500</v>
      </c>
      <c r="T41" s="26">
        <f t="shared" si="21"/>
        <v>5521400</v>
      </c>
      <c r="U41" s="26">
        <v>2845000</v>
      </c>
      <c r="V41" s="26">
        <v>2676400</v>
      </c>
      <c r="W41" s="27">
        <f t="shared" si="17"/>
        <v>8950529.5</v>
      </c>
      <c r="X41" s="27">
        <v>8020000</v>
      </c>
      <c r="Y41" s="27">
        <f>465264.75+465264.75</f>
        <v>930529.5</v>
      </c>
      <c r="Z41" s="29">
        <f t="shared" si="22"/>
        <v>7029812</v>
      </c>
      <c r="AA41" s="26">
        <v>6250000</v>
      </c>
      <c r="AB41" s="26">
        <f>389906+389906</f>
        <v>779812</v>
      </c>
      <c r="AC41" s="27">
        <f t="shared" si="23"/>
        <v>3949866.5</v>
      </c>
      <c r="AD41" s="27">
        <v>3200000</v>
      </c>
      <c r="AE41" s="27">
        <f>374933.25+374933.25</f>
        <v>749866.5</v>
      </c>
    </row>
    <row r="42" spans="1:31" x14ac:dyDescent="0.25">
      <c r="A42" s="1">
        <v>2022</v>
      </c>
      <c r="B42" s="26">
        <f t="shared" si="18"/>
        <v>34219454</v>
      </c>
      <c r="C42" s="26">
        <f t="shared" si="19"/>
        <v>27560000</v>
      </c>
      <c r="D42" s="26">
        <f t="shared" si="20"/>
        <v>6659454</v>
      </c>
      <c r="H42" s="5"/>
      <c r="I42" s="5"/>
      <c r="J42" s="5"/>
      <c r="K42" s="5"/>
      <c r="L42" s="5"/>
      <c r="M42" s="5"/>
      <c r="N42" s="5">
        <f t="shared" si="15"/>
        <v>1895250</v>
      </c>
      <c r="O42" s="5">
        <v>1805000</v>
      </c>
      <c r="P42" s="5">
        <f>45125+45125</f>
        <v>90250</v>
      </c>
      <c r="Q42" s="26">
        <f t="shared" si="16"/>
        <v>6878500</v>
      </c>
      <c r="R42" s="26">
        <v>4985000</v>
      </c>
      <c r="S42" s="5">
        <f>946750*2</f>
        <v>1893500</v>
      </c>
      <c r="T42" s="26">
        <f t="shared" si="21"/>
        <v>5519150</v>
      </c>
      <c r="U42" s="26">
        <v>2985000</v>
      </c>
      <c r="V42" s="26">
        <v>2534150</v>
      </c>
      <c r="W42" s="27">
        <f t="shared" si="17"/>
        <v>8947535.5</v>
      </c>
      <c r="X42" s="27">
        <v>8175000</v>
      </c>
      <c r="Y42" s="27">
        <f>386267.75+386267.75</f>
        <v>772535.5</v>
      </c>
      <c r="Z42" s="29">
        <f t="shared" si="22"/>
        <v>7032312</v>
      </c>
      <c r="AA42" s="26">
        <v>6345000</v>
      </c>
      <c r="AB42" s="26">
        <f>343656+343656</f>
        <v>687312</v>
      </c>
      <c r="AC42" s="27">
        <f t="shared" si="23"/>
        <v>3946706.5</v>
      </c>
      <c r="AD42" s="27">
        <v>3265000</v>
      </c>
      <c r="AE42" s="27">
        <f>340853.25+340853.25</f>
        <v>681706.5</v>
      </c>
    </row>
    <row r="43" spans="1:31" x14ac:dyDescent="0.25">
      <c r="A43" s="1">
        <v>2023</v>
      </c>
      <c r="B43" s="26">
        <f t="shared" si="18"/>
        <v>32321206</v>
      </c>
      <c r="C43" s="26">
        <f t="shared" si="19"/>
        <v>26475000</v>
      </c>
      <c r="D43" s="26">
        <f t="shared" si="20"/>
        <v>5846206</v>
      </c>
      <c r="H43" s="5"/>
      <c r="I43" s="5"/>
      <c r="J43" s="5"/>
      <c r="K43" s="5"/>
      <c r="L43" s="5"/>
      <c r="M43" s="5"/>
      <c r="N43" s="5"/>
      <c r="O43" s="5"/>
      <c r="P43" s="5"/>
      <c r="Q43" s="26">
        <f t="shared" si="16"/>
        <v>6879250</v>
      </c>
      <c r="R43" s="26">
        <v>5235000</v>
      </c>
      <c r="S43" s="5">
        <f>822125*2</f>
        <v>1644250</v>
      </c>
      <c r="T43" s="26">
        <f t="shared" si="21"/>
        <v>5519900</v>
      </c>
      <c r="U43" s="26">
        <v>3135000</v>
      </c>
      <c r="V43" s="26">
        <v>2384900</v>
      </c>
      <c r="W43" s="27">
        <f t="shared" si="17"/>
        <v>8941488</v>
      </c>
      <c r="X43" s="27">
        <v>8330000</v>
      </c>
      <c r="Y43" s="27">
        <v>611488</v>
      </c>
      <c r="Z43" s="29">
        <f t="shared" si="22"/>
        <v>7033406</v>
      </c>
      <c r="AA43" s="26">
        <v>6440000</v>
      </c>
      <c r="AB43" s="26">
        <f>296703+296703</f>
        <v>593406</v>
      </c>
      <c r="AC43" s="27">
        <f t="shared" si="23"/>
        <v>3947162</v>
      </c>
      <c r="AD43" s="27">
        <v>3335000</v>
      </c>
      <c r="AE43" s="27">
        <f>306081+306081</f>
        <v>612162</v>
      </c>
    </row>
    <row r="44" spans="1:31" x14ac:dyDescent="0.25">
      <c r="A44" s="1">
        <v>2024</v>
      </c>
      <c r="B44" s="26">
        <f t="shared" si="18"/>
        <v>32337257.5</v>
      </c>
      <c r="C44" s="26">
        <f t="shared" si="19"/>
        <v>27240000</v>
      </c>
      <c r="D44" s="26">
        <f t="shared" si="20"/>
        <v>5097257.5</v>
      </c>
      <c r="H44" s="5"/>
      <c r="I44" s="5"/>
      <c r="J44" s="5"/>
      <c r="K44" s="5"/>
      <c r="L44" s="5"/>
      <c r="M44" s="5"/>
      <c r="N44" s="5"/>
      <c r="O44" s="5"/>
      <c r="P44" s="5"/>
      <c r="Q44" s="26">
        <f t="shared" si="16"/>
        <v>6892500</v>
      </c>
      <c r="R44" s="26">
        <v>5510000</v>
      </c>
      <c r="S44" s="5">
        <f>691250*2</f>
        <v>1382500</v>
      </c>
      <c r="T44" s="26">
        <f t="shared" si="21"/>
        <v>5523150</v>
      </c>
      <c r="U44" s="26">
        <v>3295000</v>
      </c>
      <c r="V44" s="26">
        <v>2228150</v>
      </c>
      <c r="W44" s="27">
        <f t="shared" si="17"/>
        <v>8942387</v>
      </c>
      <c r="X44" s="27">
        <v>8495000</v>
      </c>
      <c r="Y44" s="27">
        <f>223693.5+223693.5</f>
        <v>447387</v>
      </c>
      <c r="Z44" s="29">
        <f t="shared" si="22"/>
        <v>7033094</v>
      </c>
      <c r="AA44" s="26">
        <v>6535000</v>
      </c>
      <c r="AB44" s="26">
        <f>249047+249047</f>
        <v>498094</v>
      </c>
      <c r="AC44" s="27">
        <f t="shared" si="23"/>
        <v>3946126.5</v>
      </c>
      <c r="AD44" s="27">
        <v>3405000</v>
      </c>
      <c r="AE44" s="27">
        <f>270563.25+270563.25</f>
        <v>541126.5</v>
      </c>
    </row>
    <row r="45" spans="1:31" x14ac:dyDescent="0.25">
      <c r="A45" s="1">
        <v>2025</v>
      </c>
      <c r="B45" s="26">
        <f t="shared" si="18"/>
        <v>29720411.5</v>
      </c>
      <c r="C45" s="26">
        <f t="shared" si="19"/>
        <v>25400000</v>
      </c>
      <c r="D45" s="26">
        <f t="shared" si="20"/>
        <v>4320411.5</v>
      </c>
      <c r="H45" s="5"/>
      <c r="I45" s="5"/>
      <c r="J45" s="5"/>
      <c r="K45" s="5"/>
      <c r="L45" s="5"/>
      <c r="M45" s="5"/>
      <c r="N45" s="5"/>
      <c r="O45" s="5"/>
      <c r="P45" s="5"/>
      <c r="Q45" s="26">
        <f t="shared" si="16"/>
        <v>4277000</v>
      </c>
      <c r="R45" s="26">
        <v>3170000</v>
      </c>
      <c r="S45" s="5">
        <f>553500*2</f>
        <v>1107000</v>
      </c>
      <c r="T45" s="26">
        <f t="shared" si="21"/>
        <v>5523400</v>
      </c>
      <c r="U45" s="26">
        <v>3460000</v>
      </c>
      <c r="V45" s="26">
        <v>2063400</v>
      </c>
      <c r="W45" s="27">
        <f t="shared" si="17"/>
        <v>8945035.5</v>
      </c>
      <c r="X45" s="27">
        <v>8665000</v>
      </c>
      <c r="Y45" s="27">
        <f>140017.75+140017.75</f>
        <v>280035.5</v>
      </c>
      <c r="Z45" s="29">
        <f t="shared" si="22"/>
        <v>7031376</v>
      </c>
      <c r="AA45" s="26">
        <v>6630000</v>
      </c>
      <c r="AB45" s="26">
        <f>200688+200688</f>
        <v>401376</v>
      </c>
      <c r="AC45" s="27">
        <f t="shared" si="23"/>
        <v>3943600</v>
      </c>
      <c r="AD45" s="27">
        <v>3475000</v>
      </c>
      <c r="AE45" s="27">
        <f>234300+234300</f>
        <v>468600</v>
      </c>
    </row>
    <row r="46" spans="1:31" x14ac:dyDescent="0.25">
      <c r="A46" s="1">
        <v>2026</v>
      </c>
      <c r="B46" s="26">
        <f t="shared" si="18"/>
        <v>28081069.5</v>
      </c>
      <c r="C46" s="26">
        <f t="shared" si="19"/>
        <v>24435000</v>
      </c>
      <c r="D46" s="26">
        <f t="shared" si="20"/>
        <v>3646069.5</v>
      </c>
      <c r="H46" s="5"/>
      <c r="I46" s="5"/>
      <c r="J46" s="5"/>
      <c r="K46" s="5"/>
      <c r="L46" s="5"/>
      <c r="M46" s="5"/>
      <c r="N46" s="5"/>
      <c r="O46" s="5"/>
      <c r="P46" s="5"/>
      <c r="Q46" s="26">
        <f t="shared" si="16"/>
        <v>2933500</v>
      </c>
      <c r="R46" s="26">
        <v>1985000</v>
      </c>
      <c r="S46" s="5">
        <f>474250*2</f>
        <v>948500</v>
      </c>
      <c r="T46" s="26">
        <f t="shared" si="21"/>
        <v>8510400</v>
      </c>
      <c r="U46" s="26">
        <v>6620000</v>
      </c>
      <c r="V46" s="26">
        <v>1890400</v>
      </c>
      <c r="W46" s="27">
        <f t="shared" si="17"/>
        <v>5659335</v>
      </c>
      <c r="X46" s="27">
        <v>5550000</v>
      </c>
      <c r="Y46" s="27">
        <f>54667.5+54667.5</f>
        <v>109335</v>
      </c>
      <c r="Z46" s="29">
        <f t="shared" si="22"/>
        <v>7033252</v>
      </c>
      <c r="AA46" s="26">
        <v>6730000</v>
      </c>
      <c r="AB46" s="26">
        <f>151626+151626</f>
        <v>303252</v>
      </c>
      <c r="AC46" s="27">
        <f>SUM(AD46:AE46)</f>
        <v>3944582.5</v>
      </c>
      <c r="AD46" s="27">
        <v>3550000</v>
      </c>
      <c r="AE46" s="27">
        <f>197291.25+197291.25</f>
        <v>394582.5</v>
      </c>
    </row>
    <row r="47" spans="1:31" x14ac:dyDescent="0.25">
      <c r="A47" s="1">
        <v>2027</v>
      </c>
      <c r="B47" s="26">
        <f t="shared" si="18"/>
        <v>22418665.5</v>
      </c>
      <c r="C47" s="26">
        <f t="shared" si="19"/>
        <v>19355000</v>
      </c>
      <c r="D47" s="26">
        <f t="shared" si="20"/>
        <v>3063665.5</v>
      </c>
      <c r="H47" s="5"/>
      <c r="I47" s="5"/>
      <c r="J47" s="5"/>
      <c r="K47" s="5"/>
      <c r="L47" s="5"/>
      <c r="M47" s="5"/>
      <c r="N47" s="5"/>
      <c r="O47" s="5"/>
      <c r="P47" s="5"/>
      <c r="Q47" s="26">
        <f t="shared" si="16"/>
        <v>2934250</v>
      </c>
      <c r="R47" s="26">
        <v>2085000</v>
      </c>
      <c r="S47" s="5">
        <f>424625*2</f>
        <v>849250</v>
      </c>
      <c r="T47" s="26">
        <f t="shared" si="21"/>
        <v>8511800</v>
      </c>
      <c r="U47" s="26">
        <v>6820000</v>
      </c>
      <c r="V47" s="26">
        <v>1691800</v>
      </c>
      <c r="Z47" s="29">
        <f t="shared" si="22"/>
        <v>7028648</v>
      </c>
      <c r="AA47" s="26">
        <v>6825000</v>
      </c>
      <c r="AB47" s="26">
        <f>101824+101824</f>
        <v>203648</v>
      </c>
      <c r="AC47" s="27">
        <f t="shared" si="23"/>
        <v>3943967.5</v>
      </c>
      <c r="AD47" s="27">
        <v>3625000</v>
      </c>
      <c r="AE47" s="27">
        <f>159483.75+159483.75</f>
        <v>318967.5</v>
      </c>
    </row>
    <row r="48" spans="1:31" x14ac:dyDescent="0.25">
      <c r="A48" s="1">
        <v>2028</v>
      </c>
      <c r="B48" s="26">
        <f t="shared" si="18"/>
        <v>18545443</v>
      </c>
      <c r="C48" s="26">
        <f t="shared" si="19"/>
        <v>16020000</v>
      </c>
      <c r="D48" s="26">
        <f t="shared" si="20"/>
        <v>2525443</v>
      </c>
      <c r="H48" s="5"/>
      <c r="I48" s="5"/>
      <c r="J48" s="5"/>
      <c r="K48" s="5"/>
      <c r="L48" s="5"/>
      <c r="M48" s="5"/>
      <c r="N48" s="5"/>
      <c r="O48" s="5"/>
      <c r="P48" s="5"/>
      <c r="Q48" s="26">
        <f t="shared" si="16"/>
        <v>2935000</v>
      </c>
      <c r="R48" s="26">
        <v>2190000</v>
      </c>
      <c r="S48" s="5">
        <f>372500*2</f>
        <v>745000</v>
      </c>
      <c r="T48" s="26">
        <f t="shared" si="21"/>
        <v>4631050</v>
      </c>
      <c r="U48" s="27">
        <v>3195000</v>
      </c>
      <c r="V48" s="26">
        <v>1436050</v>
      </c>
      <c r="Z48" s="29">
        <f t="shared" si="22"/>
        <v>7037638</v>
      </c>
      <c r="AA48" s="26">
        <v>6935000</v>
      </c>
      <c r="AB48" s="27">
        <f>51319+51319</f>
        <v>102638</v>
      </c>
      <c r="AC48" s="27">
        <f t="shared" si="23"/>
        <v>3941755</v>
      </c>
      <c r="AD48" s="27">
        <v>3700000</v>
      </c>
      <c r="AE48" s="27">
        <f>120877.5+120877.5</f>
        <v>241755</v>
      </c>
    </row>
    <row r="49" spans="1:31" x14ac:dyDescent="0.25">
      <c r="A49" s="1">
        <v>2029</v>
      </c>
      <c r="B49" s="26">
        <f t="shared" si="18"/>
        <v>11516695</v>
      </c>
      <c r="C49" s="26">
        <f t="shared" si="19"/>
        <v>9410000</v>
      </c>
      <c r="D49" s="26">
        <f t="shared" si="20"/>
        <v>2106695</v>
      </c>
      <c r="H49" s="5"/>
      <c r="I49" s="5"/>
      <c r="J49" s="5"/>
      <c r="K49" s="5"/>
      <c r="L49" s="5"/>
      <c r="M49" s="5"/>
      <c r="N49" s="5"/>
      <c r="O49" s="5"/>
      <c r="P49" s="5"/>
      <c r="Q49" s="26">
        <f t="shared" si="16"/>
        <v>2935500</v>
      </c>
      <c r="R49" s="26">
        <v>2300000</v>
      </c>
      <c r="S49" s="5">
        <f>317750*2</f>
        <v>635500</v>
      </c>
      <c r="T49" s="26">
        <f t="shared" si="21"/>
        <v>4633250</v>
      </c>
      <c r="U49" s="27">
        <v>3325000</v>
      </c>
      <c r="V49" s="26">
        <v>1308250</v>
      </c>
      <c r="Z49" s="5"/>
      <c r="AA49" s="8"/>
      <c r="AB49" s="5"/>
      <c r="AC49" s="27">
        <f t="shared" si="23"/>
        <v>3947945</v>
      </c>
      <c r="AD49" s="27">
        <v>3785000</v>
      </c>
      <c r="AE49" s="27">
        <f>81472.5+81472.5</f>
        <v>162945</v>
      </c>
    </row>
    <row r="50" spans="1:31" x14ac:dyDescent="0.25">
      <c r="A50" s="1">
        <v>2030</v>
      </c>
      <c r="B50" s="26">
        <f t="shared" si="18"/>
        <v>11513074.5</v>
      </c>
      <c r="C50" s="26">
        <f t="shared" si="19"/>
        <v>9735000</v>
      </c>
      <c r="D50" s="26">
        <f t="shared" si="20"/>
        <v>1778074.5</v>
      </c>
      <c r="H50" s="5"/>
      <c r="I50" s="5"/>
      <c r="J50" s="5"/>
      <c r="K50" s="5"/>
      <c r="L50" s="5"/>
      <c r="M50" s="5"/>
      <c r="N50" s="5"/>
      <c r="O50" s="5"/>
      <c r="P50" s="5"/>
      <c r="Q50" s="26">
        <f t="shared" si="16"/>
        <v>2935500</v>
      </c>
      <c r="R50" s="26">
        <v>2415000</v>
      </c>
      <c r="S50" s="5">
        <f>260250*2</f>
        <v>520500</v>
      </c>
      <c r="T50" s="26">
        <f t="shared" si="21"/>
        <v>4630250</v>
      </c>
      <c r="U50" s="27">
        <v>3455000</v>
      </c>
      <c r="V50" s="26">
        <v>1175250</v>
      </c>
      <c r="Z50" s="5"/>
      <c r="AA50" s="8"/>
      <c r="AB50" s="5"/>
      <c r="AC50" s="27">
        <f t="shared" si="23"/>
        <v>3947324.5</v>
      </c>
      <c r="AD50" s="27">
        <v>3865000</v>
      </c>
      <c r="AE50" s="27">
        <f>41162.25+41162.25</f>
        <v>82324.5</v>
      </c>
    </row>
    <row r="51" spans="1:31" x14ac:dyDescent="0.25">
      <c r="A51" s="1">
        <v>2031</v>
      </c>
      <c r="B51" s="26">
        <f t="shared" si="18"/>
        <v>7567250</v>
      </c>
      <c r="C51" s="26">
        <f t="shared" si="19"/>
        <v>6165000</v>
      </c>
      <c r="D51" s="26">
        <f t="shared" si="20"/>
        <v>1402250</v>
      </c>
      <c r="H51" s="5"/>
      <c r="I51" s="5"/>
      <c r="J51" s="5"/>
      <c r="K51" s="5"/>
      <c r="L51" s="5"/>
      <c r="M51" s="5"/>
      <c r="N51" s="5"/>
      <c r="O51" s="5"/>
      <c r="P51" s="5"/>
      <c r="Q51" s="26">
        <f t="shared" si="16"/>
        <v>2934750</v>
      </c>
      <c r="R51" s="26">
        <v>2535000</v>
      </c>
      <c r="S51" s="5">
        <f>199875*2</f>
        <v>399750</v>
      </c>
      <c r="T51" s="26">
        <f t="shared" si="21"/>
        <v>4632500</v>
      </c>
      <c r="U51" s="27">
        <v>3630000</v>
      </c>
      <c r="V51" s="26">
        <v>1002500</v>
      </c>
      <c r="Z51" s="5"/>
      <c r="AA51" s="8"/>
      <c r="AB51" s="5"/>
      <c r="AE51" s="8"/>
    </row>
    <row r="52" spans="1:31" x14ac:dyDescent="0.25">
      <c r="A52" s="1">
        <v>2032</v>
      </c>
      <c r="B52" s="26">
        <f t="shared" si="18"/>
        <v>7569000</v>
      </c>
      <c r="C52" s="26">
        <f t="shared" si="19"/>
        <v>6475000</v>
      </c>
      <c r="D52" s="26">
        <f t="shared" si="20"/>
        <v>1094000</v>
      </c>
      <c r="H52" s="5"/>
      <c r="I52" s="5"/>
      <c r="J52" s="5"/>
      <c r="K52" s="5"/>
      <c r="L52" s="5"/>
      <c r="M52" s="5"/>
      <c r="N52" s="5"/>
      <c r="O52" s="5"/>
      <c r="P52" s="5"/>
      <c r="Q52" s="26">
        <f t="shared" si="16"/>
        <v>2938000</v>
      </c>
      <c r="R52" s="26">
        <v>2665000</v>
      </c>
      <c r="S52" s="5">
        <f>136500*2</f>
        <v>273000</v>
      </c>
      <c r="T52" s="26">
        <f t="shared" si="21"/>
        <v>4631000</v>
      </c>
      <c r="U52" s="27">
        <v>3810000</v>
      </c>
      <c r="V52" s="26">
        <v>821000</v>
      </c>
      <c r="Z52" s="5"/>
      <c r="AA52" s="8"/>
      <c r="AB52" s="5"/>
    </row>
    <row r="53" spans="1:31" x14ac:dyDescent="0.25">
      <c r="A53" s="1">
        <v>2033</v>
      </c>
      <c r="B53" s="26">
        <f t="shared" si="18"/>
        <v>7565250</v>
      </c>
      <c r="C53" s="26">
        <f t="shared" si="19"/>
        <v>6795000</v>
      </c>
      <c r="D53" s="26">
        <f t="shared" si="20"/>
        <v>770250</v>
      </c>
      <c r="H53" s="5"/>
      <c r="I53" s="5"/>
      <c r="J53" s="5"/>
      <c r="K53" s="5"/>
      <c r="L53" s="5"/>
      <c r="M53" s="5"/>
      <c r="N53" s="5"/>
      <c r="O53" s="5"/>
      <c r="P53" s="5"/>
      <c r="Q53" s="26">
        <f t="shared" si="16"/>
        <v>2934750</v>
      </c>
      <c r="R53" s="26">
        <v>2795000</v>
      </c>
      <c r="S53" s="5">
        <f>69875*2</f>
        <v>139750</v>
      </c>
      <c r="T53" s="27">
        <f t="shared" si="21"/>
        <v>4630500</v>
      </c>
      <c r="U53" s="27">
        <v>4000000</v>
      </c>
      <c r="V53" s="27">
        <v>630500</v>
      </c>
      <c r="Z53" s="8"/>
      <c r="AA53" s="8"/>
      <c r="AB53" s="8"/>
    </row>
    <row r="54" spans="1:31" x14ac:dyDescent="0.25">
      <c r="A54" s="1">
        <v>2034</v>
      </c>
      <c r="B54" s="26">
        <f t="shared" si="18"/>
        <v>4630500</v>
      </c>
      <c r="C54" s="26">
        <f t="shared" si="19"/>
        <v>4200000</v>
      </c>
      <c r="D54" s="26">
        <f t="shared" si="20"/>
        <v>430500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27">
        <f t="shared" si="21"/>
        <v>4630500</v>
      </c>
      <c r="U54" s="27">
        <v>4200000</v>
      </c>
      <c r="V54" s="27">
        <v>430500</v>
      </c>
      <c r="Z54" s="8"/>
      <c r="AA54" s="8"/>
      <c r="AB54" s="8"/>
    </row>
    <row r="55" spans="1:31" x14ac:dyDescent="0.25">
      <c r="A55" s="1">
        <v>2035</v>
      </c>
      <c r="B55" s="26">
        <f t="shared" si="18"/>
        <v>4630500</v>
      </c>
      <c r="C55" s="26">
        <f t="shared" si="19"/>
        <v>4410000</v>
      </c>
      <c r="D55" s="26">
        <f t="shared" si="20"/>
        <v>220500</v>
      </c>
      <c r="H55" s="5"/>
      <c r="I55" s="5"/>
      <c r="J55" s="5"/>
      <c r="K55" s="5"/>
      <c r="L55" s="5"/>
      <c r="M55" s="5"/>
      <c r="N55" s="5"/>
      <c r="O55" s="5"/>
      <c r="P55" s="5"/>
      <c r="Q55" s="17"/>
      <c r="R55" s="17"/>
      <c r="S55" s="17"/>
      <c r="T55" s="28">
        <f t="shared" si="21"/>
        <v>4630500</v>
      </c>
      <c r="U55" s="28">
        <v>4410000</v>
      </c>
      <c r="V55" s="28">
        <v>220500</v>
      </c>
      <c r="Z55" s="18"/>
      <c r="AA55" s="18"/>
      <c r="AB55" s="18"/>
    </row>
    <row r="56" spans="1:31" ht="15.75" thickBot="1" x14ac:dyDescent="0.3">
      <c r="A56" s="15" t="s">
        <v>4</v>
      </c>
      <c r="B56" s="6">
        <f>SUM(B38:B55)</f>
        <v>395612348.47000003</v>
      </c>
      <c r="C56" s="6">
        <f t="shared" ref="C56:D56" si="24">SUM(C38:C55)</f>
        <v>321795000</v>
      </c>
      <c r="D56" s="6">
        <f t="shared" si="24"/>
        <v>73817348.469999999</v>
      </c>
      <c r="H56" s="22"/>
      <c r="I56" s="22"/>
      <c r="J56" s="22"/>
      <c r="K56" s="6">
        <f t="shared" ref="K56:S56" si="25">SUM(K38:K53)</f>
        <v>5179200</v>
      </c>
      <c r="L56" s="6">
        <f t="shared" si="25"/>
        <v>4980000</v>
      </c>
      <c r="M56" s="6">
        <f t="shared" si="25"/>
        <v>199200</v>
      </c>
      <c r="N56" s="6">
        <f t="shared" si="25"/>
        <v>17429750</v>
      </c>
      <c r="O56" s="6">
        <f t="shared" si="25"/>
        <v>15425000</v>
      </c>
      <c r="P56" s="6">
        <f t="shared" si="25"/>
        <v>2004750</v>
      </c>
      <c r="Q56" s="6">
        <f t="shared" si="25"/>
        <v>78435750</v>
      </c>
      <c r="R56" s="6">
        <f t="shared" si="25"/>
        <v>57885000</v>
      </c>
      <c r="S56" s="6">
        <f t="shared" si="25"/>
        <v>20550750</v>
      </c>
      <c r="T56" s="6">
        <f t="shared" ref="T56:AE56" si="26">SUM(T38:T55)</f>
        <v>98245450</v>
      </c>
      <c r="U56" s="6">
        <f t="shared" si="26"/>
        <v>66935000</v>
      </c>
      <c r="V56" s="6">
        <f t="shared" si="26"/>
        <v>31310450</v>
      </c>
      <c r="W56" s="6">
        <f t="shared" si="26"/>
        <v>78043672.5</v>
      </c>
      <c r="X56" s="6">
        <f t="shared" si="26"/>
        <v>71160000</v>
      </c>
      <c r="Y56" s="6">
        <f t="shared" si="26"/>
        <v>6883672.5</v>
      </c>
      <c r="Z56" s="6">
        <f t="shared" si="26"/>
        <v>74986520</v>
      </c>
      <c r="AA56" s="6">
        <f t="shared" si="26"/>
        <v>68550000</v>
      </c>
      <c r="AB56" s="6">
        <f t="shared" si="26"/>
        <v>6436520</v>
      </c>
      <c r="AC56" s="6">
        <f t="shared" si="26"/>
        <v>43292005.969999999</v>
      </c>
      <c r="AD56" s="6">
        <f t="shared" si="26"/>
        <v>36860000</v>
      </c>
      <c r="AE56" s="6">
        <f t="shared" si="26"/>
        <v>6432005.9699999997</v>
      </c>
    </row>
    <row r="57" spans="1:31" ht="15.75" thickTop="1" x14ac:dyDescent="0.25"/>
  </sheetData>
  <mergeCells count="36">
    <mergeCell ref="E2:G2"/>
    <mergeCell ref="H2:J2"/>
    <mergeCell ref="K2:M2"/>
    <mergeCell ref="N2:P2"/>
    <mergeCell ref="Q2:S2"/>
    <mergeCell ref="E1:G1"/>
    <mergeCell ref="H1:J1"/>
    <mergeCell ref="K1:M1"/>
    <mergeCell ref="Q1:S1"/>
    <mergeCell ref="N1:P1"/>
    <mergeCell ref="Q36:S36"/>
    <mergeCell ref="T36:V36"/>
    <mergeCell ref="W36:Y36"/>
    <mergeCell ref="Z36:AB36"/>
    <mergeCell ref="AC36:AE36"/>
    <mergeCell ref="K36:M36"/>
    <mergeCell ref="H35:J35"/>
    <mergeCell ref="H36:J36"/>
    <mergeCell ref="N35:P35"/>
    <mergeCell ref="N36:P36"/>
    <mergeCell ref="B35:D35"/>
    <mergeCell ref="W35:Y35"/>
    <mergeCell ref="Z35:AB35"/>
    <mergeCell ref="AC35:AE35"/>
    <mergeCell ref="T1:V1"/>
    <mergeCell ref="W1:Y1"/>
    <mergeCell ref="Z1:AB1"/>
    <mergeCell ref="AC1:AE1"/>
    <mergeCell ref="Z2:AB2"/>
    <mergeCell ref="AC2:AE2"/>
    <mergeCell ref="K35:M35"/>
    <mergeCell ref="Q35:S35"/>
    <mergeCell ref="T35:V35"/>
    <mergeCell ref="T2:V2"/>
    <mergeCell ref="W2:Y2"/>
    <mergeCell ref="B1:D1"/>
  </mergeCells>
  <pageMargins left="0.7" right="0.7" top="0.75" bottom="0.75" header="0.3" footer="0.3"/>
  <pageSetup paperSize="17" scale="57" fitToHeight="0" orientation="landscape" r:id="rId1"/>
  <headerFooter>
    <oddHeader>&amp;C&amp;"-,Bold"&amp;36 Combined Schedule of Tarrant County 's Outstanding Debt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abSelected="1" view="pageLayout" topLeftCell="A2" zoomScaleNormal="100" workbookViewId="0">
      <selection activeCell="N38" sqref="N38"/>
    </sheetView>
  </sheetViews>
  <sheetFormatPr defaultRowHeight="15" x14ac:dyDescent="0.25"/>
  <cols>
    <col min="2" max="2" width="15.5703125" customWidth="1"/>
    <col min="3" max="3" width="15" customWidth="1"/>
    <col min="4" max="4" width="14.5703125" customWidth="1"/>
    <col min="5" max="10" width="0" hidden="1" customWidth="1"/>
    <col min="11" max="11" width="13.140625" customWidth="1"/>
    <col min="12" max="12" width="15.85546875" customWidth="1"/>
    <col min="13" max="13" width="10.85546875" customWidth="1"/>
    <col min="14" max="14" width="16.85546875" customWidth="1"/>
    <col min="15" max="15" width="12.5703125" customWidth="1"/>
    <col min="16" max="16" width="12.28515625" customWidth="1"/>
    <col min="17" max="17" width="13.42578125" customWidth="1"/>
    <col min="18" max="18" width="14.7109375" customWidth="1"/>
    <col min="19" max="19" width="13.5703125" customWidth="1"/>
    <col min="20" max="20" width="12.42578125" customWidth="1"/>
    <col min="21" max="21" width="13.5703125" customWidth="1"/>
    <col min="22" max="22" width="13.140625" customWidth="1"/>
    <col min="23" max="23" width="14.140625" customWidth="1"/>
    <col min="24" max="24" width="14.42578125" customWidth="1"/>
    <col min="25" max="26" width="12.5703125" customWidth="1"/>
    <col min="27" max="27" width="14.7109375" customWidth="1"/>
    <col min="28" max="28" width="12.42578125" customWidth="1"/>
    <col min="29" max="29" width="13.140625" customWidth="1"/>
    <col min="30" max="30" width="13" customWidth="1"/>
    <col min="31" max="31" width="11.5703125" customWidth="1"/>
    <col min="32" max="32" width="13.7109375" customWidth="1"/>
    <col min="33" max="33" width="11.28515625" customWidth="1"/>
    <col min="34" max="34" width="9.140625" customWidth="1"/>
  </cols>
  <sheetData>
    <row r="1" spans="1:31" x14ac:dyDescent="0.25">
      <c r="A1" s="12"/>
      <c r="B1" s="50" t="s">
        <v>1</v>
      </c>
      <c r="C1" s="50"/>
      <c r="D1" s="50"/>
      <c r="H1" s="54"/>
      <c r="I1" s="54"/>
      <c r="J1" s="54"/>
      <c r="K1" s="50" t="s">
        <v>8</v>
      </c>
      <c r="L1" s="50"/>
      <c r="M1" s="50"/>
      <c r="N1" s="50" t="s">
        <v>9</v>
      </c>
      <c r="O1" s="50"/>
      <c r="P1" s="50"/>
      <c r="Q1" s="50" t="s">
        <v>10</v>
      </c>
      <c r="R1" s="50"/>
      <c r="S1" s="50"/>
      <c r="T1" s="50" t="s">
        <v>19</v>
      </c>
      <c r="U1" s="50"/>
      <c r="V1" s="50"/>
      <c r="W1" s="50" t="s">
        <v>20</v>
      </c>
      <c r="X1" s="50"/>
      <c r="Y1" s="50"/>
      <c r="Z1" s="50" t="s">
        <v>25</v>
      </c>
      <c r="AA1" s="50"/>
      <c r="AB1" s="50"/>
      <c r="AC1" s="50" t="s">
        <v>27</v>
      </c>
      <c r="AD1" s="50"/>
      <c r="AE1" s="50"/>
    </row>
    <row r="2" spans="1:31" ht="27" customHeight="1" thickBot="1" x14ac:dyDescent="0.3">
      <c r="A2" s="61"/>
      <c r="B2" s="58"/>
      <c r="C2" s="58"/>
      <c r="D2" s="58"/>
      <c r="H2" s="55"/>
      <c r="I2" s="55"/>
      <c r="J2" s="55"/>
      <c r="K2" s="58" t="s">
        <v>39</v>
      </c>
      <c r="L2" s="58"/>
      <c r="M2" s="58"/>
      <c r="N2" s="59" t="s">
        <v>40</v>
      </c>
      <c r="O2" s="59"/>
      <c r="P2" s="59"/>
      <c r="Q2" s="56" t="s">
        <v>14</v>
      </c>
      <c r="R2" s="56"/>
      <c r="S2" s="56"/>
      <c r="T2" s="56" t="s">
        <v>18</v>
      </c>
      <c r="U2" s="56"/>
      <c r="V2" s="56"/>
      <c r="W2" s="56" t="s">
        <v>21</v>
      </c>
      <c r="X2" s="56"/>
      <c r="Y2" s="56"/>
      <c r="Z2" s="56" t="s">
        <v>26</v>
      </c>
      <c r="AA2" s="56"/>
      <c r="AB2" s="56"/>
      <c r="AC2" s="56" t="s">
        <v>28</v>
      </c>
      <c r="AD2" s="56"/>
      <c r="AE2" s="56"/>
    </row>
    <row r="3" spans="1:31" x14ac:dyDescent="0.25">
      <c r="A3" s="1" t="s">
        <v>0</v>
      </c>
      <c r="B3" s="2" t="s">
        <v>1</v>
      </c>
      <c r="C3" s="3" t="s">
        <v>2</v>
      </c>
      <c r="D3" s="2" t="s">
        <v>3</v>
      </c>
      <c r="H3" s="25"/>
      <c r="I3" s="25"/>
      <c r="J3" s="25"/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" t="s">
        <v>1</v>
      </c>
      <c r="AA3" s="2" t="s">
        <v>2</v>
      </c>
      <c r="AB3" s="2" t="s">
        <v>3</v>
      </c>
      <c r="AC3" s="2" t="s">
        <v>1</v>
      </c>
      <c r="AD3" s="2" t="s">
        <v>2</v>
      </c>
      <c r="AE3" s="2" t="s">
        <v>3</v>
      </c>
    </row>
    <row r="4" spans="1:31" x14ac:dyDescent="0.25">
      <c r="A4" s="1" t="s">
        <v>44</v>
      </c>
      <c r="B4" s="26">
        <f>SUM(C4:D4)</f>
        <v>38042533.469999999</v>
      </c>
      <c r="C4" s="26">
        <f>+F4+I4+L4+O4+R4+U4+X4+AA4+AD4+C36</f>
        <v>28052000</v>
      </c>
      <c r="D4" s="26">
        <f t="shared" ref="D4:D21" si="0">+G4+J4+M4+P4+S4+V4+Y4+AB4+AE4</f>
        <v>9990533.4700000007</v>
      </c>
      <c r="H4" s="5"/>
      <c r="I4" s="5"/>
      <c r="J4" s="5"/>
      <c r="K4" s="26">
        <f t="shared" ref="K4" si="1">SUM(L4:M4)</f>
        <v>5179200</v>
      </c>
      <c r="L4" s="26">
        <v>4980000</v>
      </c>
      <c r="M4" s="26">
        <f>99600+99600</f>
        <v>199200</v>
      </c>
      <c r="N4" s="26">
        <f t="shared" ref="N4:N8" si="2">SUM(O4:P4)</f>
        <v>4541250</v>
      </c>
      <c r="O4" s="26">
        <v>3770000</v>
      </c>
      <c r="P4" s="26">
        <f>385625+385625</f>
        <v>771250</v>
      </c>
      <c r="Q4" s="26">
        <f t="shared" ref="Q4:Q19" si="3">SUM(R4:S4)</f>
        <v>8149250</v>
      </c>
      <c r="R4" s="26">
        <v>5255000</v>
      </c>
      <c r="S4" s="26">
        <f>1447125*2</f>
        <v>2894250</v>
      </c>
      <c r="T4" s="26">
        <f>SUM(U4:V4)</f>
        <v>5523900</v>
      </c>
      <c r="U4" s="26">
        <v>2460000</v>
      </c>
      <c r="V4" s="26">
        <v>3063900</v>
      </c>
      <c r="W4" s="27">
        <f t="shared" ref="W4:W12" si="4">SUM(X4:Y4)</f>
        <v>9356852</v>
      </c>
      <c r="X4" s="27">
        <v>7955000</v>
      </c>
      <c r="Y4" s="27">
        <v>1401852</v>
      </c>
      <c r="Z4" s="29">
        <f>SUM(AA4:AB4)</f>
        <v>3254540</v>
      </c>
      <c r="AA4" s="26">
        <v>2240000</v>
      </c>
      <c r="AB4" s="26">
        <f>507270+507270</f>
        <v>1014540</v>
      </c>
      <c r="AC4" s="27">
        <f t="shared" ref="AC4:AC16" si="5">SUM(AD4:AE4)</f>
        <v>1280541.47</v>
      </c>
      <c r="AD4" s="27">
        <v>635000</v>
      </c>
      <c r="AE4" s="27">
        <f>252982.47+392559</f>
        <v>645541.47</v>
      </c>
    </row>
    <row r="5" spans="1:31" x14ac:dyDescent="0.25">
      <c r="A5" s="1" t="s">
        <v>45</v>
      </c>
      <c r="B5" s="26">
        <f t="shared" ref="B5:B21" si="6">SUM(C5:D5)</f>
        <v>38035269</v>
      </c>
      <c r="C5" s="26">
        <f>+F5+I5+L5+O5+R5+U5+X5+AA5+AD5+C37</f>
        <v>28882000</v>
      </c>
      <c r="D5" s="26">
        <f t="shared" si="0"/>
        <v>9153269</v>
      </c>
      <c r="H5" s="5"/>
      <c r="I5" s="5"/>
      <c r="J5" s="5"/>
      <c r="K5" s="26"/>
      <c r="L5" s="26"/>
      <c r="M5" s="26"/>
      <c r="N5" s="26">
        <f t="shared" si="2"/>
        <v>4547750</v>
      </c>
      <c r="O5" s="26">
        <v>3965000</v>
      </c>
      <c r="P5" s="26">
        <f>291375+291375</f>
        <v>582750</v>
      </c>
      <c r="Q5" s="26">
        <f t="shared" si="3"/>
        <v>8141500</v>
      </c>
      <c r="R5" s="26">
        <v>5510000</v>
      </c>
      <c r="S5" s="26">
        <f>1315750*2</f>
        <v>2631500</v>
      </c>
      <c r="T5" s="26">
        <f t="shared" ref="T5:T21" si="7">SUM(U5:V5)</f>
        <v>5520900</v>
      </c>
      <c r="U5" s="26">
        <v>2580000</v>
      </c>
      <c r="V5" s="26">
        <v>2940900</v>
      </c>
      <c r="W5" s="27">
        <f t="shared" si="4"/>
        <v>9355138.5</v>
      </c>
      <c r="X5" s="27">
        <v>8110000</v>
      </c>
      <c r="Y5" s="27">
        <f>622569.25+622569.25</f>
        <v>1245138.5</v>
      </c>
      <c r="Z5" s="29">
        <f t="shared" ref="Z5:Z14" si="8">SUM(AA5:AB5)</f>
        <v>8436388</v>
      </c>
      <c r="AA5" s="26">
        <v>7455000</v>
      </c>
      <c r="AB5" s="26">
        <f>490694+490694</f>
        <v>981388</v>
      </c>
      <c r="AC5" s="27">
        <f t="shared" si="5"/>
        <v>1276592.5</v>
      </c>
      <c r="AD5" s="27">
        <v>505000</v>
      </c>
      <c r="AE5" s="27">
        <f>385796.25+385796.25</f>
        <v>771592.5</v>
      </c>
    </row>
    <row r="6" spans="1:31" x14ac:dyDescent="0.25">
      <c r="A6" s="1" t="s">
        <v>46</v>
      </c>
      <c r="B6" s="26">
        <f t="shared" si="6"/>
        <v>34955661.5</v>
      </c>
      <c r="C6" s="26">
        <f>+F6+I6+L6+O6+R6+U6+X6+AA6+AD6+C38</f>
        <v>26686000</v>
      </c>
      <c r="D6" s="26">
        <f t="shared" si="0"/>
        <v>8269661.5</v>
      </c>
      <c r="H6" s="5"/>
      <c r="I6" s="5"/>
      <c r="J6" s="5"/>
      <c r="K6" s="26"/>
      <c r="L6" s="26"/>
      <c r="M6" s="26"/>
      <c r="N6" s="26">
        <f t="shared" si="2"/>
        <v>4554500</v>
      </c>
      <c r="O6" s="26">
        <v>4170000</v>
      </c>
      <c r="P6" s="26">
        <f>192250+192250</f>
        <v>384500</v>
      </c>
      <c r="Q6" s="26">
        <f t="shared" si="3"/>
        <v>6866000</v>
      </c>
      <c r="R6" s="26">
        <v>4510000</v>
      </c>
      <c r="S6" s="26">
        <f>1178000*2</f>
        <v>2356000</v>
      </c>
      <c r="T6" s="26">
        <f t="shared" si="7"/>
        <v>5521900</v>
      </c>
      <c r="U6" s="26">
        <v>2710000</v>
      </c>
      <c r="V6" s="26">
        <v>2811900</v>
      </c>
      <c r="W6" s="27">
        <f t="shared" si="4"/>
        <v>8945371.5</v>
      </c>
      <c r="X6" s="27">
        <v>7860000</v>
      </c>
      <c r="Y6" s="27">
        <f>542685.75+542685.75</f>
        <v>1085371.5</v>
      </c>
      <c r="Z6" s="29">
        <f t="shared" si="8"/>
        <v>7036054</v>
      </c>
      <c r="AA6" s="26">
        <v>6165000</v>
      </c>
      <c r="AB6" s="26">
        <f>435527+435527</f>
        <v>871054</v>
      </c>
      <c r="AC6" s="27">
        <f t="shared" si="5"/>
        <v>1275836</v>
      </c>
      <c r="AD6" s="27">
        <v>515000</v>
      </c>
      <c r="AE6" s="27">
        <f>380418+380418</f>
        <v>760836</v>
      </c>
    </row>
    <row r="7" spans="1:31" x14ac:dyDescent="0.25">
      <c r="A7" s="1">
        <v>2021</v>
      </c>
      <c r="B7" s="26">
        <f t="shared" si="6"/>
        <v>34213108</v>
      </c>
      <c r="C7" s="26">
        <f>+F7+I7+L7+O7+R7+U7+X7+AA7+AD7</f>
        <v>26770000</v>
      </c>
      <c r="D7" s="26">
        <f t="shared" si="0"/>
        <v>7443108</v>
      </c>
      <c r="H7" s="5"/>
      <c r="I7" s="5"/>
      <c r="J7" s="5"/>
      <c r="K7" s="26"/>
      <c r="L7" s="26"/>
      <c r="M7" s="26"/>
      <c r="N7" s="26">
        <f t="shared" si="2"/>
        <v>1891000</v>
      </c>
      <c r="O7" s="26">
        <v>1715000</v>
      </c>
      <c r="P7" s="26">
        <f>88000+88000</f>
        <v>176000</v>
      </c>
      <c r="Q7" s="26">
        <f t="shared" si="3"/>
        <v>6870500</v>
      </c>
      <c r="R7" s="26">
        <v>4740000</v>
      </c>
      <c r="S7" s="26">
        <f>1065250*2</f>
        <v>2130500</v>
      </c>
      <c r="T7" s="26">
        <f t="shared" si="7"/>
        <v>5521400</v>
      </c>
      <c r="U7" s="26">
        <v>2845000</v>
      </c>
      <c r="V7" s="26">
        <v>2676400</v>
      </c>
      <c r="W7" s="27">
        <f t="shared" si="4"/>
        <v>8950529.5</v>
      </c>
      <c r="X7" s="27">
        <v>8020000</v>
      </c>
      <c r="Y7" s="27">
        <f>465264.75+465264.75</f>
        <v>930529.5</v>
      </c>
      <c r="Z7" s="29">
        <f t="shared" si="8"/>
        <v>7029812</v>
      </c>
      <c r="AA7" s="26">
        <v>6250000</v>
      </c>
      <c r="AB7" s="26">
        <f>389906+389906</f>
        <v>779812</v>
      </c>
      <c r="AC7" s="27">
        <f t="shared" si="5"/>
        <v>3949866.5</v>
      </c>
      <c r="AD7" s="27">
        <v>3200000</v>
      </c>
      <c r="AE7" s="27">
        <f>374933.25+374933.25</f>
        <v>749866.5</v>
      </c>
    </row>
    <row r="8" spans="1:31" x14ac:dyDescent="0.25">
      <c r="A8" s="1">
        <v>2022</v>
      </c>
      <c r="B8" s="26">
        <f t="shared" si="6"/>
        <v>34219454</v>
      </c>
      <c r="C8" s="26">
        <f t="shared" ref="C8:C21" si="9">+F8+I8+L8+O8+R8+U8+X8+AA8+AD8</f>
        <v>27560000</v>
      </c>
      <c r="D8" s="26">
        <f t="shared" si="0"/>
        <v>6659454</v>
      </c>
      <c r="H8" s="5"/>
      <c r="I8" s="5"/>
      <c r="J8" s="5"/>
      <c r="K8" s="26"/>
      <c r="L8" s="26"/>
      <c r="M8" s="26"/>
      <c r="N8" s="26">
        <f t="shared" si="2"/>
        <v>1895250</v>
      </c>
      <c r="O8" s="26">
        <v>1805000</v>
      </c>
      <c r="P8" s="26">
        <f>45125+45125</f>
        <v>90250</v>
      </c>
      <c r="Q8" s="26">
        <f t="shared" si="3"/>
        <v>6878500</v>
      </c>
      <c r="R8" s="26">
        <v>4985000</v>
      </c>
      <c r="S8" s="26">
        <f>946750*2</f>
        <v>1893500</v>
      </c>
      <c r="T8" s="26">
        <f t="shared" si="7"/>
        <v>5519150</v>
      </c>
      <c r="U8" s="26">
        <v>2985000</v>
      </c>
      <c r="V8" s="26">
        <v>2534150</v>
      </c>
      <c r="W8" s="27">
        <f t="shared" si="4"/>
        <v>8947535.5</v>
      </c>
      <c r="X8" s="27">
        <v>8175000</v>
      </c>
      <c r="Y8" s="27">
        <f>386267.75+386267.75</f>
        <v>772535.5</v>
      </c>
      <c r="Z8" s="29">
        <f t="shared" si="8"/>
        <v>7032312</v>
      </c>
      <c r="AA8" s="26">
        <v>6345000</v>
      </c>
      <c r="AB8" s="26">
        <f>343656+343656</f>
        <v>687312</v>
      </c>
      <c r="AC8" s="27">
        <f t="shared" si="5"/>
        <v>3946706.5</v>
      </c>
      <c r="AD8" s="27">
        <v>3265000</v>
      </c>
      <c r="AE8" s="27">
        <f>340853.25+340853.25</f>
        <v>681706.5</v>
      </c>
    </row>
    <row r="9" spans="1:31" x14ac:dyDescent="0.25">
      <c r="A9" s="1">
        <v>2023</v>
      </c>
      <c r="B9" s="26">
        <f t="shared" si="6"/>
        <v>32321206</v>
      </c>
      <c r="C9" s="26">
        <f t="shared" si="9"/>
        <v>26475000</v>
      </c>
      <c r="D9" s="26">
        <f t="shared" si="0"/>
        <v>5846206</v>
      </c>
      <c r="H9" s="5"/>
      <c r="I9" s="5"/>
      <c r="J9" s="5"/>
      <c r="K9" s="26"/>
      <c r="L9" s="26"/>
      <c r="M9" s="26"/>
      <c r="N9" s="26"/>
      <c r="O9" s="26"/>
      <c r="P9" s="26"/>
      <c r="Q9" s="26">
        <f t="shared" si="3"/>
        <v>6879250</v>
      </c>
      <c r="R9" s="26">
        <v>5235000</v>
      </c>
      <c r="S9" s="26">
        <f>822125*2</f>
        <v>1644250</v>
      </c>
      <c r="T9" s="26">
        <f t="shared" si="7"/>
        <v>5519900</v>
      </c>
      <c r="U9" s="26">
        <v>3135000</v>
      </c>
      <c r="V9" s="26">
        <v>2384900</v>
      </c>
      <c r="W9" s="27">
        <f t="shared" si="4"/>
        <v>8941488</v>
      </c>
      <c r="X9" s="27">
        <v>8330000</v>
      </c>
      <c r="Y9" s="27">
        <v>611488</v>
      </c>
      <c r="Z9" s="29">
        <f t="shared" si="8"/>
        <v>7033406</v>
      </c>
      <c r="AA9" s="26">
        <v>6440000</v>
      </c>
      <c r="AB9" s="26">
        <f>296703+296703</f>
        <v>593406</v>
      </c>
      <c r="AC9" s="27">
        <f t="shared" si="5"/>
        <v>3947162</v>
      </c>
      <c r="AD9" s="27">
        <v>3335000</v>
      </c>
      <c r="AE9" s="27">
        <f>306081+306081</f>
        <v>612162</v>
      </c>
    </row>
    <row r="10" spans="1:31" x14ac:dyDescent="0.25">
      <c r="A10" s="1">
        <v>2024</v>
      </c>
      <c r="B10" s="26">
        <f t="shared" si="6"/>
        <v>32337257.5</v>
      </c>
      <c r="C10" s="26">
        <f t="shared" si="9"/>
        <v>27240000</v>
      </c>
      <c r="D10" s="26">
        <f t="shared" si="0"/>
        <v>5097257.5</v>
      </c>
      <c r="H10" s="5"/>
      <c r="I10" s="5"/>
      <c r="J10" s="5"/>
      <c r="K10" s="26"/>
      <c r="L10" s="26"/>
      <c r="M10" s="26"/>
      <c r="N10" s="26"/>
      <c r="O10" s="26"/>
      <c r="P10" s="26"/>
      <c r="Q10" s="26">
        <f t="shared" si="3"/>
        <v>6892500</v>
      </c>
      <c r="R10" s="26">
        <v>5510000</v>
      </c>
      <c r="S10" s="26">
        <f>691250*2</f>
        <v>1382500</v>
      </c>
      <c r="T10" s="26">
        <f t="shared" si="7"/>
        <v>5523150</v>
      </c>
      <c r="U10" s="26">
        <v>3295000</v>
      </c>
      <c r="V10" s="26">
        <v>2228150</v>
      </c>
      <c r="W10" s="27">
        <f t="shared" si="4"/>
        <v>8942387</v>
      </c>
      <c r="X10" s="27">
        <v>8495000</v>
      </c>
      <c r="Y10" s="27">
        <f>223693.5+223693.5</f>
        <v>447387</v>
      </c>
      <c r="Z10" s="29">
        <f t="shared" si="8"/>
        <v>7033094</v>
      </c>
      <c r="AA10" s="26">
        <v>6535000</v>
      </c>
      <c r="AB10" s="26">
        <f>249047+249047</f>
        <v>498094</v>
      </c>
      <c r="AC10" s="27">
        <f t="shared" si="5"/>
        <v>3946126.5</v>
      </c>
      <c r="AD10" s="27">
        <v>3405000</v>
      </c>
      <c r="AE10" s="27">
        <f>270563.25+270563.25</f>
        <v>541126.5</v>
      </c>
    </row>
    <row r="11" spans="1:31" x14ac:dyDescent="0.25">
      <c r="A11" s="1">
        <v>2025</v>
      </c>
      <c r="B11" s="26">
        <f t="shared" si="6"/>
        <v>29720411.5</v>
      </c>
      <c r="C11" s="26">
        <f t="shared" si="9"/>
        <v>25400000</v>
      </c>
      <c r="D11" s="26">
        <f t="shared" si="0"/>
        <v>4320411.5</v>
      </c>
      <c r="H11" s="5"/>
      <c r="I11" s="5"/>
      <c r="J11" s="5"/>
      <c r="K11" s="26"/>
      <c r="L11" s="26"/>
      <c r="M11" s="26"/>
      <c r="N11" s="26"/>
      <c r="O11" s="26"/>
      <c r="P11" s="26"/>
      <c r="Q11" s="26">
        <f t="shared" si="3"/>
        <v>4277000</v>
      </c>
      <c r="R11" s="26">
        <v>3170000</v>
      </c>
      <c r="S11" s="26">
        <f>553500*2</f>
        <v>1107000</v>
      </c>
      <c r="T11" s="26">
        <f t="shared" si="7"/>
        <v>5523400</v>
      </c>
      <c r="U11" s="26">
        <v>3460000</v>
      </c>
      <c r="V11" s="26">
        <v>2063400</v>
      </c>
      <c r="W11" s="27">
        <f t="shared" si="4"/>
        <v>8945035.5</v>
      </c>
      <c r="X11" s="27">
        <v>8665000</v>
      </c>
      <c r="Y11" s="27">
        <f>140017.75+140017.75</f>
        <v>280035.5</v>
      </c>
      <c r="Z11" s="29">
        <f t="shared" si="8"/>
        <v>7031376</v>
      </c>
      <c r="AA11" s="26">
        <v>6630000</v>
      </c>
      <c r="AB11" s="26">
        <f>200688+200688</f>
        <v>401376</v>
      </c>
      <c r="AC11" s="27">
        <f t="shared" si="5"/>
        <v>3943600</v>
      </c>
      <c r="AD11" s="27">
        <v>3475000</v>
      </c>
      <c r="AE11" s="27">
        <f>234300+234300</f>
        <v>468600</v>
      </c>
    </row>
    <row r="12" spans="1:31" x14ac:dyDescent="0.25">
      <c r="A12" s="1">
        <v>2026</v>
      </c>
      <c r="B12" s="26">
        <f t="shared" si="6"/>
        <v>28081069.5</v>
      </c>
      <c r="C12" s="26">
        <f t="shared" si="9"/>
        <v>24435000</v>
      </c>
      <c r="D12" s="26">
        <f t="shared" si="0"/>
        <v>3646069.5</v>
      </c>
      <c r="H12" s="5"/>
      <c r="I12" s="5"/>
      <c r="J12" s="5"/>
      <c r="K12" s="26"/>
      <c r="L12" s="26"/>
      <c r="M12" s="26"/>
      <c r="N12" s="26"/>
      <c r="O12" s="26"/>
      <c r="P12" s="26"/>
      <c r="Q12" s="26">
        <f t="shared" si="3"/>
        <v>2933500</v>
      </c>
      <c r="R12" s="26">
        <v>1985000</v>
      </c>
      <c r="S12" s="26">
        <f>474250*2</f>
        <v>948500</v>
      </c>
      <c r="T12" s="26">
        <f t="shared" si="7"/>
        <v>8510400</v>
      </c>
      <c r="U12" s="26">
        <v>6620000</v>
      </c>
      <c r="V12" s="26">
        <v>1890400</v>
      </c>
      <c r="W12" s="27">
        <f t="shared" si="4"/>
        <v>5659335</v>
      </c>
      <c r="X12" s="27">
        <v>5550000</v>
      </c>
      <c r="Y12" s="27">
        <f>54667.5+54667.5</f>
        <v>109335</v>
      </c>
      <c r="Z12" s="29">
        <f t="shared" si="8"/>
        <v>7033252</v>
      </c>
      <c r="AA12" s="26">
        <v>6730000</v>
      </c>
      <c r="AB12" s="26">
        <f>151626+151626</f>
        <v>303252</v>
      </c>
      <c r="AC12" s="27">
        <f t="shared" si="5"/>
        <v>3944582.5</v>
      </c>
      <c r="AD12" s="27">
        <v>3550000</v>
      </c>
      <c r="AE12" s="27">
        <f>197291.25+197291.25</f>
        <v>394582.5</v>
      </c>
    </row>
    <row r="13" spans="1:31" x14ac:dyDescent="0.25">
      <c r="A13" s="1">
        <v>2027</v>
      </c>
      <c r="B13" s="26">
        <f t="shared" si="6"/>
        <v>22418665.5</v>
      </c>
      <c r="C13" s="26">
        <f t="shared" si="9"/>
        <v>19355000</v>
      </c>
      <c r="D13" s="26">
        <f t="shared" si="0"/>
        <v>3063665.5</v>
      </c>
      <c r="H13" s="5"/>
      <c r="I13" s="5"/>
      <c r="J13" s="5"/>
      <c r="K13" s="26"/>
      <c r="L13" s="26"/>
      <c r="M13" s="26"/>
      <c r="N13" s="26"/>
      <c r="O13" s="26"/>
      <c r="P13" s="26"/>
      <c r="Q13" s="26">
        <f t="shared" si="3"/>
        <v>2934250</v>
      </c>
      <c r="R13" s="26">
        <v>2085000</v>
      </c>
      <c r="S13" s="26">
        <f>424625*2</f>
        <v>849250</v>
      </c>
      <c r="T13" s="26">
        <f t="shared" si="7"/>
        <v>8511800</v>
      </c>
      <c r="U13" s="26">
        <v>6820000</v>
      </c>
      <c r="V13" s="26">
        <v>1691800</v>
      </c>
      <c r="Z13" s="29">
        <f t="shared" si="8"/>
        <v>7028648</v>
      </c>
      <c r="AA13" s="26">
        <v>6825000</v>
      </c>
      <c r="AB13" s="26">
        <f>101824+101824</f>
        <v>203648</v>
      </c>
      <c r="AC13" s="27">
        <f t="shared" si="5"/>
        <v>3943967.5</v>
      </c>
      <c r="AD13" s="27">
        <v>3625000</v>
      </c>
      <c r="AE13" s="27">
        <f>159483.75+159483.75</f>
        <v>318967.5</v>
      </c>
    </row>
    <row r="14" spans="1:31" x14ac:dyDescent="0.25">
      <c r="A14" s="1">
        <v>2028</v>
      </c>
      <c r="B14" s="26">
        <f t="shared" si="6"/>
        <v>18545443</v>
      </c>
      <c r="C14" s="26">
        <f t="shared" si="9"/>
        <v>16020000</v>
      </c>
      <c r="D14" s="26">
        <f t="shared" si="0"/>
        <v>2525443</v>
      </c>
      <c r="H14" s="5"/>
      <c r="I14" s="5"/>
      <c r="J14" s="5"/>
      <c r="K14" s="26"/>
      <c r="L14" s="26"/>
      <c r="M14" s="26"/>
      <c r="N14" s="26"/>
      <c r="O14" s="26"/>
      <c r="P14" s="26"/>
      <c r="Q14" s="26">
        <f t="shared" si="3"/>
        <v>2935000</v>
      </c>
      <c r="R14" s="26">
        <v>2190000</v>
      </c>
      <c r="S14" s="26">
        <f>372500*2</f>
        <v>745000</v>
      </c>
      <c r="T14" s="26">
        <f t="shared" si="7"/>
        <v>4631050</v>
      </c>
      <c r="U14" s="27">
        <v>3195000</v>
      </c>
      <c r="V14" s="26">
        <v>1436050</v>
      </c>
      <c r="Z14" s="29">
        <f t="shared" si="8"/>
        <v>7037638</v>
      </c>
      <c r="AA14" s="26">
        <v>6935000</v>
      </c>
      <c r="AB14" s="27">
        <f>51319+51319</f>
        <v>102638</v>
      </c>
      <c r="AC14" s="27">
        <f t="shared" si="5"/>
        <v>3941755</v>
      </c>
      <c r="AD14" s="27">
        <v>3700000</v>
      </c>
      <c r="AE14" s="27">
        <f>120877.5+120877.5</f>
        <v>241755</v>
      </c>
    </row>
    <row r="15" spans="1:31" x14ac:dyDescent="0.25">
      <c r="A15" s="1">
        <v>2029</v>
      </c>
      <c r="B15" s="26">
        <f t="shared" si="6"/>
        <v>11516695</v>
      </c>
      <c r="C15" s="26">
        <f t="shared" si="9"/>
        <v>9410000</v>
      </c>
      <c r="D15" s="26">
        <f t="shared" si="0"/>
        <v>2106695</v>
      </c>
      <c r="H15" s="5"/>
      <c r="I15" s="5"/>
      <c r="J15" s="5"/>
      <c r="K15" s="26"/>
      <c r="L15" s="26"/>
      <c r="M15" s="26"/>
      <c r="N15" s="26"/>
      <c r="O15" s="26"/>
      <c r="P15" s="26"/>
      <c r="Q15" s="26">
        <f t="shared" si="3"/>
        <v>2935500</v>
      </c>
      <c r="R15" s="26">
        <v>2300000</v>
      </c>
      <c r="S15" s="26">
        <f>317750*2</f>
        <v>635500</v>
      </c>
      <c r="T15" s="26">
        <f t="shared" si="7"/>
        <v>4633250</v>
      </c>
      <c r="U15" s="27">
        <v>3325000</v>
      </c>
      <c r="V15" s="26">
        <v>1308250</v>
      </c>
      <c r="Z15" s="5"/>
      <c r="AA15" s="8"/>
      <c r="AB15" s="5"/>
      <c r="AC15" s="27">
        <f t="shared" si="5"/>
        <v>3947945</v>
      </c>
      <c r="AD15" s="27">
        <v>3785000</v>
      </c>
      <c r="AE15" s="27">
        <f>81472.5+81472.5</f>
        <v>162945</v>
      </c>
    </row>
    <row r="16" spans="1:31" x14ac:dyDescent="0.25">
      <c r="A16" s="1">
        <v>2030</v>
      </c>
      <c r="B16" s="26">
        <f t="shared" si="6"/>
        <v>11513074.5</v>
      </c>
      <c r="C16" s="26">
        <f t="shared" si="9"/>
        <v>9735000</v>
      </c>
      <c r="D16" s="26">
        <f t="shared" si="0"/>
        <v>1778074.5</v>
      </c>
      <c r="H16" s="5"/>
      <c r="I16" s="5"/>
      <c r="J16" s="5"/>
      <c r="K16" s="26"/>
      <c r="L16" s="26"/>
      <c r="M16" s="26"/>
      <c r="N16" s="26"/>
      <c r="O16" s="26"/>
      <c r="P16" s="26"/>
      <c r="Q16" s="26">
        <f t="shared" si="3"/>
        <v>2935500</v>
      </c>
      <c r="R16" s="26">
        <v>2415000</v>
      </c>
      <c r="S16" s="26">
        <f>260250*2</f>
        <v>520500</v>
      </c>
      <c r="T16" s="26">
        <f t="shared" si="7"/>
        <v>4630250</v>
      </c>
      <c r="U16" s="27">
        <v>3455000</v>
      </c>
      <c r="V16" s="26">
        <v>1175250</v>
      </c>
      <c r="Z16" s="5"/>
      <c r="AA16" s="8"/>
      <c r="AB16" s="5"/>
      <c r="AC16" s="27">
        <f t="shared" si="5"/>
        <v>3947324.5</v>
      </c>
      <c r="AD16" s="27">
        <v>3865000</v>
      </c>
      <c r="AE16" s="27">
        <f>41162.25+41162.25</f>
        <v>82324.5</v>
      </c>
    </row>
    <row r="17" spans="1:34" x14ac:dyDescent="0.25">
      <c r="A17" s="1">
        <v>2031</v>
      </c>
      <c r="B17" s="26">
        <f t="shared" si="6"/>
        <v>7567250</v>
      </c>
      <c r="C17" s="26">
        <f t="shared" si="9"/>
        <v>6165000</v>
      </c>
      <c r="D17" s="26">
        <f t="shared" si="0"/>
        <v>1402250</v>
      </c>
      <c r="H17" s="5"/>
      <c r="I17" s="5"/>
      <c r="J17" s="5"/>
      <c r="K17" s="26"/>
      <c r="L17" s="26"/>
      <c r="M17" s="26"/>
      <c r="N17" s="26"/>
      <c r="O17" s="26"/>
      <c r="P17" s="26"/>
      <c r="Q17" s="26">
        <f t="shared" si="3"/>
        <v>2934750</v>
      </c>
      <c r="R17" s="26">
        <v>2535000</v>
      </c>
      <c r="S17" s="26">
        <f>199875*2</f>
        <v>399750</v>
      </c>
      <c r="T17" s="26">
        <f t="shared" si="7"/>
        <v>4632500</v>
      </c>
      <c r="U17" s="27">
        <v>3630000</v>
      </c>
      <c r="V17" s="26">
        <v>1002500</v>
      </c>
      <c r="Z17" s="5"/>
      <c r="AA17" s="8"/>
      <c r="AB17" s="5"/>
      <c r="AE17" s="8"/>
    </row>
    <row r="18" spans="1:34" x14ac:dyDescent="0.25">
      <c r="A18" s="1">
        <v>2032</v>
      </c>
      <c r="B18" s="26">
        <f t="shared" si="6"/>
        <v>7569000</v>
      </c>
      <c r="C18" s="26">
        <f t="shared" si="9"/>
        <v>6475000</v>
      </c>
      <c r="D18" s="26">
        <f t="shared" si="0"/>
        <v>1094000</v>
      </c>
      <c r="H18" s="5"/>
      <c r="I18" s="5"/>
      <c r="J18" s="5"/>
      <c r="K18" s="26"/>
      <c r="L18" s="26"/>
      <c r="M18" s="26"/>
      <c r="N18" s="26"/>
      <c r="O18" s="26"/>
      <c r="P18" s="26"/>
      <c r="Q18" s="26">
        <f t="shared" si="3"/>
        <v>2938000</v>
      </c>
      <c r="R18" s="26">
        <v>2665000</v>
      </c>
      <c r="S18" s="26">
        <f>136500*2</f>
        <v>273000</v>
      </c>
      <c r="T18" s="26">
        <f t="shared" si="7"/>
        <v>4631000</v>
      </c>
      <c r="U18" s="27">
        <v>3810000</v>
      </c>
      <c r="V18" s="26">
        <v>821000</v>
      </c>
      <c r="Z18" s="5"/>
      <c r="AA18" s="8"/>
      <c r="AB18" s="5"/>
    </row>
    <row r="19" spans="1:34" x14ac:dyDescent="0.25">
      <c r="A19" s="1">
        <v>2033</v>
      </c>
      <c r="B19" s="26">
        <f t="shared" si="6"/>
        <v>7565250</v>
      </c>
      <c r="C19" s="26">
        <f t="shared" si="9"/>
        <v>6795000</v>
      </c>
      <c r="D19" s="26">
        <f t="shared" si="0"/>
        <v>770250</v>
      </c>
      <c r="H19" s="5"/>
      <c r="I19" s="5"/>
      <c r="J19" s="5"/>
      <c r="K19" s="26"/>
      <c r="L19" s="26"/>
      <c r="M19" s="26"/>
      <c r="N19" s="26"/>
      <c r="O19" s="26"/>
      <c r="P19" s="26"/>
      <c r="Q19" s="26">
        <f t="shared" si="3"/>
        <v>2934750</v>
      </c>
      <c r="R19" s="26">
        <v>2795000</v>
      </c>
      <c r="S19" s="26">
        <f>69875*2</f>
        <v>139750</v>
      </c>
      <c r="T19" s="27">
        <f t="shared" si="7"/>
        <v>4630500</v>
      </c>
      <c r="U19" s="27">
        <v>4000000</v>
      </c>
      <c r="V19" s="27">
        <v>630500</v>
      </c>
      <c r="Z19" s="8"/>
      <c r="AA19" s="8"/>
      <c r="AB19" s="8"/>
    </row>
    <row r="20" spans="1:34" x14ac:dyDescent="0.25">
      <c r="A20" s="1">
        <v>2034</v>
      </c>
      <c r="B20" s="26">
        <f t="shared" si="6"/>
        <v>4630500</v>
      </c>
      <c r="C20" s="26">
        <f t="shared" si="9"/>
        <v>4200000</v>
      </c>
      <c r="D20" s="26">
        <f t="shared" si="0"/>
        <v>430500</v>
      </c>
      <c r="H20" s="5"/>
      <c r="I20" s="5"/>
      <c r="J20" s="5"/>
      <c r="K20" s="26"/>
      <c r="L20" s="26"/>
      <c r="M20" s="26"/>
      <c r="N20" s="26"/>
      <c r="O20" s="26"/>
      <c r="P20" s="26"/>
      <c r="Q20" s="5"/>
      <c r="R20" s="5"/>
      <c r="S20" s="26"/>
      <c r="T20" s="27">
        <f t="shared" si="7"/>
        <v>4630500</v>
      </c>
      <c r="U20" s="27">
        <v>4200000</v>
      </c>
      <c r="V20" s="27">
        <v>430500</v>
      </c>
      <c r="Z20" s="8"/>
      <c r="AA20" s="8"/>
      <c r="AB20" s="8"/>
    </row>
    <row r="21" spans="1:34" x14ac:dyDescent="0.25">
      <c r="A21" s="1">
        <v>2035</v>
      </c>
      <c r="B21" s="26">
        <f t="shared" si="6"/>
        <v>4630500</v>
      </c>
      <c r="C21" s="26">
        <f t="shared" si="9"/>
        <v>4410000</v>
      </c>
      <c r="D21" s="26">
        <f t="shared" si="0"/>
        <v>220500</v>
      </c>
      <c r="H21" s="5"/>
      <c r="I21" s="5"/>
      <c r="J21" s="5"/>
      <c r="K21" s="26"/>
      <c r="L21" s="26"/>
      <c r="M21" s="26"/>
      <c r="N21" s="26"/>
      <c r="O21" s="26"/>
      <c r="P21" s="26"/>
      <c r="Q21" s="17"/>
      <c r="R21" s="17"/>
      <c r="S21" s="33"/>
      <c r="T21" s="28">
        <f t="shared" si="7"/>
        <v>4630500</v>
      </c>
      <c r="U21" s="28">
        <v>4410000</v>
      </c>
      <c r="V21" s="28">
        <v>220500</v>
      </c>
      <c r="Z21" s="18"/>
      <c r="AA21" s="18"/>
      <c r="AB21" s="18"/>
    </row>
    <row r="22" spans="1:34" ht="15.75" thickBot="1" x14ac:dyDescent="0.3">
      <c r="A22" s="15" t="s">
        <v>4</v>
      </c>
      <c r="B22" s="30">
        <f>SUM(B4:B21)</f>
        <v>397882348.47000003</v>
      </c>
      <c r="C22" s="30">
        <f>SUM(C4:C21)</f>
        <v>324065000</v>
      </c>
      <c r="D22" s="30">
        <f t="shared" ref="D22" si="10">SUM(D4:D21)</f>
        <v>73817348.469999999</v>
      </c>
      <c r="E22" s="31"/>
      <c r="F22" s="31"/>
      <c r="G22" s="31"/>
      <c r="H22" s="32"/>
      <c r="I22" s="32"/>
      <c r="J22" s="32"/>
      <c r="K22" s="30">
        <f t="shared" ref="K22:S22" si="11">SUM(K4:K19)</f>
        <v>5179200</v>
      </c>
      <c r="L22" s="30">
        <f t="shared" si="11"/>
        <v>4980000</v>
      </c>
      <c r="M22" s="30">
        <f t="shared" si="11"/>
        <v>199200</v>
      </c>
      <c r="N22" s="30">
        <f t="shared" si="11"/>
        <v>17429750</v>
      </c>
      <c r="O22" s="30">
        <f t="shared" si="11"/>
        <v>15425000</v>
      </c>
      <c r="P22" s="30">
        <f t="shared" si="11"/>
        <v>2004750</v>
      </c>
      <c r="Q22" s="30">
        <f t="shared" si="11"/>
        <v>78435750</v>
      </c>
      <c r="R22" s="30">
        <f t="shared" si="11"/>
        <v>57885000</v>
      </c>
      <c r="S22" s="30">
        <f t="shared" si="11"/>
        <v>20550750</v>
      </c>
      <c r="T22" s="30">
        <f t="shared" ref="T22:AH22" si="12">SUM(T4:T21)</f>
        <v>98245450</v>
      </c>
      <c r="U22" s="30">
        <f t="shared" si="12"/>
        <v>66935000</v>
      </c>
      <c r="V22" s="30">
        <f t="shared" si="12"/>
        <v>31310450</v>
      </c>
      <c r="W22" s="30">
        <f t="shared" si="12"/>
        <v>78043672.5</v>
      </c>
      <c r="X22" s="30">
        <f t="shared" si="12"/>
        <v>71160000</v>
      </c>
      <c r="Y22" s="30">
        <f t="shared" si="12"/>
        <v>6883672.5</v>
      </c>
      <c r="Z22" s="30">
        <f t="shared" si="12"/>
        <v>74986520</v>
      </c>
      <c r="AA22" s="30">
        <f t="shared" si="12"/>
        <v>68550000</v>
      </c>
      <c r="AB22" s="30">
        <f t="shared" si="12"/>
        <v>6436520</v>
      </c>
      <c r="AC22" s="30">
        <f t="shared" si="12"/>
        <v>43292005.969999999</v>
      </c>
      <c r="AD22" s="30">
        <f t="shared" si="12"/>
        <v>36860000</v>
      </c>
      <c r="AE22" s="30">
        <f t="shared" si="12"/>
        <v>6432005.9699999997</v>
      </c>
      <c r="AF22" s="30">
        <f t="shared" si="12"/>
        <v>0</v>
      </c>
      <c r="AG22" s="30">
        <f t="shared" si="12"/>
        <v>0</v>
      </c>
      <c r="AH22" s="30">
        <f t="shared" si="12"/>
        <v>0</v>
      </c>
    </row>
    <row r="23" spans="1:34" ht="15.75" thickTop="1" x14ac:dyDescent="0.25">
      <c r="A23" s="49" t="s">
        <v>47</v>
      </c>
    </row>
    <row r="24" spans="1:34" hidden="1" x14ac:dyDescent="0.25">
      <c r="A24" s="60" t="s">
        <v>41</v>
      </c>
      <c r="B24" s="50"/>
      <c r="C24" s="50"/>
      <c r="D24" s="51"/>
    </row>
    <row r="25" spans="1:34" hidden="1" x14ac:dyDescent="0.25">
      <c r="A25" s="1" t="s">
        <v>0</v>
      </c>
      <c r="B25" s="2" t="s">
        <v>1</v>
      </c>
      <c r="C25" s="3" t="s">
        <v>2</v>
      </c>
      <c r="D25" s="4" t="s">
        <v>3</v>
      </c>
    </row>
    <row r="26" spans="1:34" hidden="1" x14ac:dyDescent="0.25">
      <c r="A26" s="1">
        <v>2018</v>
      </c>
      <c r="B26" s="26">
        <f t="shared" ref="B26" si="13">SUM(C26:D26)</f>
        <v>757000</v>
      </c>
      <c r="C26" s="26">
        <v>757000</v>
      </c>
      <c r="D26" s="34">
        <f>+G26+J26+M26+P26+S26+V26+Y26+AB26+AE26</f>
        <v>0</v>
      </c>
    </row>
    <row r="27" spans="1:34" hidden="1" x14ac:dyDescent="0.25">
      <c r="A27" s="1">
        <v>2019</v>
      </c>
      <c r="B27" s="26">
        <f t="shared" ref="B27:B28" si="14">SUM(C27:D27)</f>
        <v>757000</v>
      </c>
      <c r="C27" s="26">
        <v>757000</v>
      </c>
      <c r="D27" s="34">
        <f>+G27+J27+M27+P27+S27+V27+Y27+AB27+AE27</f>
        <v>0</v>
      </c>
    </row>
    <row r="28" spans="1:34" hidden="1" x14ac:dyDescent="0.25">
      <c r="A28" s="1">
        <v>2020</v>
      </c>
      <c r="B28" s="26">
        <f t="shared" si="14"/>
        <v>756000</v>
      </c>
      <c r="C28" s="26">
        <v>756000</v>
      </c>
      <c r="D28" s="34">
        <f>+G28+J28+M28+P28+S28+V28+Y28+AB28+AE28</f>
        <v>0</v>
      </c>
    </row>
    <row r="29" spans="1:34" ht="15.75" hidden="1" thickBot="1" x14ac:dyDescent="0.3">
      <c r="A29" s="35" t="s">
        <v>1</v>
      </c>
      <c r="B29" s="36">
        <f>SUM(B26:B28)</f>
        <v>2270000</v>
      </c>
      <c r="C29" s="36">
        <f>SUM(C26:C28)</f>
        <v>2270000</v>
      </c>
      <c r="D29" s="37">
        <f>SUM(D26:D28)</f>
        <v>0</v>
      </c>
    </row>
    <row r="30" spans="1:34" hidden="1" x14ac:dyDescent="0.25"/>
    <row r="31" spans="1:34" hidden="1" x14ac:dyDescent="0.25"/>
    <row r="33" spans="1:13" x14ac:dyDescent="0.25">
      <c r="A33" s="39"/>
      <c r="B33" s="62" t="s">
        <v>42</v>
      </c>
      <c r="C33" s="62"/>
      <c r="D33" s="63"/>
    </row>
    <row r="34" spans="1:13" ht="15.75" thickBot="1" x14ac:dyDescent="0.3">
      <c r="A34" s="44"/>
      <c r="B34" s="56" t="s">
        <v>43</v>
      </c>
      <c r="C34" s="56"/>
      <c r="D34" s="57"/>
    </row>
    <row r="35" spans="1:13" x14ac:dyDescent="0.25">
      <c r="A35" s="40" t="s">
        <v>0</v>
      </c>
      <c r="B35" s="38" t="s">
        <v>1</v>
      </c>
      <c r="C35" s="2" t="s">
        <v>2</v>
      </c>
      <c r="D35" s="41" t="s">
        <v>3</v>
      </c>
    </row>
    <row r="36" spans="1:13" x14ac:dyDescent="0.25">
      <c r="A36" s="45">
        <v>2018</v>
      </c>
      <c r="B36" s="26">
        <f>SUM(C36:D36)</f>
        <v>757000</v>
      </c>
      <c r="C36" s="31">
        <v>757000</v>
      </c>
      <c r="D36" s="42">
        <v>0</v>
      </c>
      <c r="M36" s="26"/>
    </row>
    <row r="37" spans="1:13" x14ac:dyDescent="0.25">
      <c r="A37" s="45">
        <v>2019</v>
      </c>
      <c r="B37" s="26">
        <f t="shared" ref="B37:B38" si="15">SUM(C37:D37)</f>
        <v>757000</v>
      </c>
      <c r="C37" s="31">
        <v>757000</v>
      </c>
      <c r="D37" s="42">
        <v>0</v>
      </c>
      <c r="M37" s="26"/>
    </row>
    <row r="38" spans="1:13" x14ac:dyDescent="0.25">
      <c r="A38" s="45">
        <v>2020</v>
      </c>
      <c r="B38" s="26">
        <f t="shared" si="15"/>
        <v>756000</v>
      </c>
      <c r="C38" s="31">
        <v>756000</v>
      </c>
      <c r="D38" s="42">
        <v>0</v>
      </c>
      <c r="M38" s="26"/>
    </row>
    <row r="39" spans="1:13" x14ac:dyDescent="0.25">
      <c r="A39" s="46" t="s">
        <v>1</v>
      </c>
      <c r="B39" s="47">
        <f>SUM(B36:B38)</f>
        <v>2270000</v>
      </c>
      <c r="C39" s="47">
        <f>SUM(C36:C38)</f>
        <v>2270000</v>
      </c>
      <c r="D39" s="48">
        <f t="shared" ref="D39" si="16">SUM(D36:D38)</f>
        <v>0</v>
      </c>
    </row>
    <row r="46" spans="1:13" x14ac:dyDescent="0.25">
      <c r="B46" s="43"/>
      <c r="C46" s="26"/>
      <c r="D46" s="43"/>
    </row>
    <row r="47" spans="1:13" x14ac:dyDescent="0.25">
      <c r="B47" s="43"/>
      <c r="C47" s="26"/>
      <c r="D47" s="43"/>
    </row>
    <row r="48" spans="1:13" x14ac:dyDescent="0.25">
      <c r="B48" s="43"/>
      <c r="C48" s="26"/>
      <c r="D48" s="43"/>
    </row>
    <row r="49" spans="2:2" x14ac:dyDescent="0.25">
      <c r="B49" s="43"/>
    </row>
    <row r="50" spans="2:2" x14ac:dyDescent="0.25">
      <c r="B50" s="43"/>
    </row>
    <row r="53" spans="2:2" x14ac:dyDescent="0.25">
      <c r="B53" s="43"/>
    </row>
  </sheetData>
  <mergeCells count="21">
    <mergeCell ref="B1:D1"/>
    <mergeCell ref="H1:J1"/>
    <mergeCell ref="K1:M1"/>
    <mergeCell ref="N1:P1"/>
    <mergeCell ref="B33:D33"/>
    <mergeCell ref="B34:D34"/>
    <mergeCell ref="Q1:S1"/>
    <mergeCell ref="AC2:AE2"/>
    <mergeCell ref="H2:J2"/>
    <mergeCell ref="W1:Y1"/>
    <mergeCell ref="Z1:AB1"/>
    <mergeCell ref="AC1:AE1"/>
    <mergeCell ref="K2:M2"/>
    <mergeCell ref="N2:P2"/>
    <mergeCell ref="Q2:S2"/>
    <mergeCell ref="T2:V2"/>
    <mergeCell ref="W2:Y2"/>
    <mergeCell ref="Z2:AB2"/>
    <mergeCell ref="T1:V1"/>
    <mergeCell ref="A24:D24"/>
    <mergeCell ref="A2:D2"/>
  </mergeCells>
  <pageMargins left="0.7" right="0.7" top="0.75" bottom="0.75" header="0.3" footer="0.3"/>
  <pageSetup paperSize="3" scale="53" fitToHeight="0" orientation="landscape" r:id="rId1"/>
  <headerFooter>
    <oddHeader>&amp;C &amp;"-,Bold"&amp;36Combined Schedule of Tarrant County 's Outstanding Debt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 of 9-30-2014</vt:lpstr>
      <vt:lpstr>as of 9-11-2015</vt:lpstr>
      <vt:lpstr>10-20-17</vt:lpstr>
    </vt:vector>
  </TitlesOfParts>
  <Company>Tarrant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Kandice S. Boutte</dc:creator>
  <cp:lastModifiedBy>Kandice S. Boutte</cp:lastModifiedBy>
  <cp:lastPrinted>2017-10-31T19:22:20Z</cp:lastPrinted>
  <dcterms:created xsi:type="dcterms:W3CDTF">2015-07-07T15:59:13Z</dcterms:created>
  <dcterms:modified xsi:type="dcterms:W3CDTF">2017-11-09T21:17:54Z</dcterms:modified>
</cp:coreProperties>
</file>