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smukka\Desktop\"/>
    </mc:Choice>
  </mc:AlternateContent>
  <bookViews>
    <workbookView xWindow="360" yWindow="30" windowWidth="11340" windowHeight="6540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Sheet1!$A$2:$I$97</definedName>
    <definedName name="_xlnm.Print_Area" localSheetId="2">Sheet3!$A$1:$I$23</definedName>
    <definedName name="_xlnm.Print_Titles" localSheetId="0">Sheet1!$3:$3</definedName>
  </definedNames>
  <calcPr calcId="171027" fullCalcOnLoad="1"/>
</workbook>
</file>

<file path=xl/calcChain.xml><?xml version="1.0" encoding="utf-8"?>
<calcChain xmlns="http://schemas.openxmlformats.org/spreadsheetml/2006/main">
  <c r="N8" i="2" l="1"/>
  <c r="M8" i="2"/>
  <c r="M7" i="2"/>
  <c r="L8" i="2"/>
  <c r="K8" i="2"/>
  <c r="J8" i="2"/>
  <c r="N7" i="2"/>
  <c r="L7" i="2"/>
  <c r="K7" i="2"/>
  <c r="J7" i="2"/>
  <c r="I7" i="2"/>
  <c r="N14" i="2"/>
  <c r="M14" i="2"/>
  <c r="N15" i="2"/>
  <c r="M15" i="2"/>
  <c r="N13" i="2"/>
  <c r="N10" i="2"/>
  <c r="M10" i="2"/>
  <c r="L10" i="2"/>
  <c r="K10" i="2"/>
  <c r="J10" i="2"/>
  <c r="P10" i="2"/>
  <c r="K12" i="3"/>
  <c r="N9" i="2"/>
  <c r="M9" i="2"/>
  <c r="L9" i="2"/>
  <c r="K9" i="2"/>
  <c r="J9" i="2"/>
  <c r="P9" i="2"/>
  <c r="K11" i="3"/>
  <c r="I9" i="2"/>
  <c r="N6" i="2"/>
  <c r="M6" i="2"/>
  <c r="L6" i="2"/>
  <c r="J6" i="2"/>
  <c r="I6" i="2"/>
  <c r="H6" i="2"/>
  <c r="P21" i="2"/>
  <c r="P20" i="2"/>
  <c r="P19" i="2"/>
  <c r="P18" i="2"/>
  <c r="P17" i="2"/>
  <c r="P16" i="2"/>
  <c r="P15" i="2"/>
  <c r="K17" i="3"/>
  <c r="P14" i="2"/>
  <c r="K16" i="3"/>
  <c r="P13" i="2"/>
  <c r="K15" i="3"/>
  <c r="P12" i="2"/>
  <c r="P11" i="2"/>
  <c r="K13" i="3"/>
  <c r="P8" i="2"/>
  <c r="K10" i="3"/>
  <c r="P7" i="2"/>
  <c r="K9" i="3"/>
  <c r="P6" i="2"/>
  <c r="K7" i="3"/>
  <c r="N5" i="2"/>
  <c r="M5" i="2"/>
  <c r="L5" i="2"/>
  <c r="K5" i="2"/>
  <c r="J5" i="2"/>
  <c r="I5" i="2"/>
  <c r="P5" i="2"/>
  <c r="K6" i="3"/>
  <c r="N4" i="2"/>
  <c r="M4" i="2"/>
  <c r="L4" i="2"/>
  <c r="K4" i="2"/>
  <c r="J4" i="2"/>
  <c r="I4" i="2"/>
  <c r="H4" i="2"/>
  <c r="G4" i="2"/>
  <c r="F4" i="2"/>
  <c r="E4" i="2"/>
  <c r="P4" i="2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1" i="1"/>
  <c r="K60" i="1"/>
  <c r="K58" i="1"/>
  <c r="K56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0" i="1"/>
  <c r="K79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<sst xmlns="http://schemas.openxmlformats.org/spreadsheetml/2006/main" count="534" uniqueCount="325">
  <si>
    <t>Company</t>
  </si>
  <si>
    <t>City</t>
  </si>
  <si>
    <t>Term (years)</t>
  </si>
  <si>
    <t>Fort Worth</t>
  </si>
  <si>
    <t>General Motors</t>
  </si>
  <si>
    <t>Arlington</t>
  </si>
  <si>
    <t>n/a</t>
  </si>
  <si>
    <t>Williamson-Dickie</t>
  </si>
  <si>
    <t>50%/100%</t>
  </si>
  <si>
    <t>Heidleberg Harris</t>
  </si>
  <si>
    <t>Kennedale</t>
  </si>
  <si>
    <t>National Semiconductor</t>
  </si>
  <si>
    <t>Sundance West II</t>
  </si>
  <si>
    <t>Sundance West I</t>
  </si>
  <si>
    <t>Tecnol</t>
  </si>
  <si>
    <t>N. Richland Hills</t>
  </si>
  <si>
    <t>Dannon Company Inc</t>
  </si>
  <si>
    <t>Conti Industries Inc</t>
  </si>
  <si>
    <t>AMCOT Partners</t>
  </si>
  <si>
    <t>Menasco Aerosystems</t>
  </si>
  <si>
    <t>Motorla, Inc.</t>
  </si>
  <si>
    <t>Siecor Corporation</t>
  </si>
  <si>
    <t>Tarrant County</t>
  </si>
  <si>
    <t>FWT, Inc.</t>
  </si>
  <si>
    <t>D&amp;S Plastics International</t>
  </si>
  <si>
    <t>Mansfield</t>
  </si>
  <si>
    <r>
      <t xml:space="preserve">Declining Rate             </t>
    </r>
    <r>
      <rPr>
        <sz val="8"/>
        <rFont val="Arial"/>
        <family val="2"/>
      </rPr>
      <t>90%-10%</t>
    </r>
  </si>
  <si>
    <t>*Received agricultural exemption, reducing taxable value to $47,340 and annual County taxes to $19.84</t>
  </si>
  <si>
    <t>Doskocil Manfacturing Co</t>
  </si>
  <si>
    <t>The Kroger Company</t>
  </si>
  <si>
    <t>Haggar Apparal Company</t>
  </si>
  <si>
    <t>Finland Partners/Noika</t>
  </si>
  <si>
    <t>Siemans Energy</t>
  </si>
  <si>
    <t>Grand Prairie</t>
  </si>
  <si>
    <t>Hillside/Downtown FW Inc</t>
  </si>
  <si>
    <t>Michaels/Hilwood</t>
  </si>
  <si>
    <t>Trammell Crow/Baxter</t>
  </si>
  <si>
    <t>45% (8yrs) 20% (2yrs)</t>
  </si>
  <si>
    <t>PFS/New York Life</t>
  </si>
  <si>
    <t>25% base</t>
  </si>
  <si>
    <t>Trader Publishing</t>
  </si>
  <si>
    <t>25% base +</t>
  </si>
  <si>
    <t>75% base +</t>
  </si>
  <si>
    <t>Firestone Properties</t>
  </si>
  <si>
    <t>Minyard Food Stores</t>
  </si>
  <si>
    <t>HRI/Blackstone Hotel</t>
  </si>
  <si>
    <t>Trinity Industries Inc</t>
  </si>
  <si>
    <t>Saginaw</t>
  </si>
  <si>
    <t>Petula Associates LTD. (Aetna U.S. Healthcare)</t>
  </si>
  <si>
    <t>Republic Beverage Company</t>
  </si>
  <si>
    <t>Bana, Inc.</t>
  </si>
  <si>
    <t>Texas Ultra Pure Inc.</t>
  </si>
  <si>
    <t>The Fort Worth Villas by the Lake</t>
  </si>
  <si>
    <t>Ben E. Keith Company</t>
  </si>
  <si>
    <t>Fidelity Unlimited Partnership (FMR Texas)</t>
  </si>
  <si>
    <t>Westlake</t>
  </si>
  <si>
    <t>PJ Food Service Inc. (Papa Johns)</t>
  </si>
  <si>
    <t>50%-Y1                    40%-Y2               30%-Y3                 20%-Y4          10%-Y5</t>
  </si>
  <si>
    <t>30 - 50</t>
  </si>
  <si>
    <t>50% base +                        80% maximum</t>
  </si>
  <si>
    <t>1,300-2,500</t>
  </si>
  <si>
    <t>25% base +                      75% maximum</t>
  </si>
  <si>
    <t>100%-Y1-5                      80%-Y6               60%-Y7               40%-Y8               20%-Y9                10%-Y10</t>
  </si>
  <si>
    <t>30% base +        75% maximum</t>
  </si>
  <si>
    <t>75%-Y1        70%-Y2                 65%-Y3                  60%-Y4                     55%-Y5               50%-Y6-10</t>
  </si>
  <si>
    <t>Determined by level of usage of minority and/or women owned business               75% maximum</t>
  </si>
  <si>
    <t>100%-Y1-2                   Y3 Lesser of 100% or amount left to pay expenses plus $150,000</t>
  </si>
  <si>
    <t xml:space="preserve">10 real             5 personal </t>
  </si>
  <si>
    <t>Tarrant County Tax Abatement Summary</t>
  </si>
  <si>
    <t>Percent Abated</t>
  </si>
  <si>
    <t>Projected Value of Abatement</t>
  </si>
  <si>
    <t>May 11, 1999</t>
  </si>
  <si>
    <t>SABRE Group</t>
  </si>
  <si>
    <t>Southlake</t>
  </si>
  <si>
    <t xml:space="preserve">$529,700,000 - seven different phases of development/seven approved abatements </t>
  </si>
  <si>
    <t>10 (each phase)</t>
  </si>
  <si>
    <t>*Abatement terms amended Jan. 18, 1984; Abatement amount based on 50% abatement for 1990-1992 and 100% for years 1993-1999.</t>
  </si>
  <si>
    <t>August 31, 1999</t>
  </si>
  <si>
    <t>Chase Bank Call Center</t>
  </si>
  <si>
    <t xml:space="preserve">40% base    20% for additional jobs; 60% maximum                                                                                                                                                                                                                                                 </t>
  </si>
  <si>
    <t>10 - real               5 - personal</t>
  </si>
  <si>
    <t>December 8, 1999</t>
  </si>
  <si>
    <t>Heidleberg Harris Plant Expansion</t>
  </si>
  <si>
    <t>December 14, 1999</t>
  </si>
  <si>
    <t>Mackie Automotive Sub-assembly Plant</t>
  </si>
  <si>
    <t>50% base              10% for additional jobs      Maximum 60%</t>
  </si>
  <si>
    <t>General Motors Plant Modernization</t>
  </si>
  <si>
    <t>$22,600,000</t>
  </si>
  <si>
    <t>60% base         bonus % for job levels    Maximum  80%</t>
  </si>
  <si>
    <t>February 29, 2000</t>
  </si>
  <si>
    <t>Mattel, Inc. and Meacham Rail 191</t>
  </si>
  <si>
    <t>$21,750,000</t>
  </si>
  <si>
    <t>75% base     bonus % for job levels         Maximum 80%</t>
  </si>
  <si>
    <r>
      <t xml:space="preserve">April 27, 1993  </t>
    </r>
    <r>
      <rPr>
        <i/>
        <sz val="8"/>
        <rFont val="Arial"/>
        <family val="2"/>
      </rPr>
      <t>(Abatement Terminated by City of Fort Worth</t>
    </r>
    <r>
      <rPr>
        <sz val="8"/>
        <rFont val="Arial"/>
        <family val="2"/>
      </rPr>
      <t>)</t>
    </r>
  </si>
  <si>
    <t>Effective Date</t>
  </si>
  <si>
    <t>March 14, 2000</t>
  </si>
  <si>
    <t>Bell Helicopter</t>
  </si>
  <si>
    <t>June 27, 2000</t>
  </si>
  <si>
    <t>20% base;     30% for increased employment     30% for increased TC and DBE contracting         Maximum 80%</t>
  </si>
  <si>
    <t>20% base;     15% for increased employment     15% for increased TC resident employment         Maximum 50%</t>
  </si>
  <si>
    <t>5</t>
  </si>
  <si>
    <t>982 - 1,800</t>
  </si>
  <si>
    <t>1,096 retained;      365 new</t>
  </si>
  <si>
    <t>Seicor/Corning</t>
  </si>
  <si>
    <t>$5,250,000 - Phase 1       $10,000,000 - Phase 2</t>
  </si>
  <si>
    <t>40% Base;      20% for increase employment;    15% for Phase 2 investment    Maximum 75%</t>
  </si>
  <si>
    <t xml:space="preserve">900 retained;  195 new - Phase 1;  200-500 new with Phase 2 </t>
  </si>
  <si>
    <t>August 29, 2000</t>
  </si>
  <si>
    <t>May 8, 2001</t>
  </si>
  <si>
    <t>60% base;         Bonus of up to 20% for job levels;    Maximum  80%</t>
  </si>
  <si>
    <t>August 7, 2001</t>
  </si>
  <si>
    <t>Hauk Holdings</t>
  </si>
  <si>
    <t>40% base;  20% bonus for job levels</t>
  </si>
  <si>
    <t>950+ retained</t>
  </si>
  <si>
    <t xml:space="preserve">100+ new </t>
  </si>
  <si>
    <t>Con Agra/Meacham Rail</t>
  </si>
  <si>
    <t>60% base;         bonus up to 10% for job levels; bonus of 5% for inventory level;    Maximum  75%</t>
  </si>
  <si>
    <t>84 new</t>
  </si>
  <si>
    <t>Plaza Medical Center</t>
  </si>
  <si>
    <t>60% base;  10% bonus for TC resident employment level; 10% bonus for added Emergency Beds;  Maximum 80%</t>
  </si>
  <si>
    <t>36 new</t>
  </si>
  <si>
    <t>March 26, 2002</t>
  </si>
  <si>
    <t>August 28, 2001</t>
  </si>
  <si>
    <t>Bank One - OperationsCtr.</t>
  </si>
  <si>
    <t>TLC/The Tower</t>
  </si>
  <si>
    <t>Coca Cola Enterprises</t>
  </si>
  <si>
    <t>February 18, 2003</t>
  </si>
  <si>
    <t>Projected Jobs New &amp; Retained</t>
  </si>
  <si>
    <t>Abatement Status Information</t>
  </si>
  <si>
    <t>$6,500,000 - Phase I; $17,000,000 Phase II &amp; III</t>
  </si>
  <si>
    <t>60% base; up to 10% bonus for employment levels; 5% for inventory level; Maximum 75%</t>
  </si>
  <si>
    <t>1100 retained</t>
  </si>
  <si>
    <t>40% Base; Up to 20% for employment levels; Maximum 70%</t>
  </si>
  <si>
    <t>$83,000 - County;  $71,275 - Hospital District</t>
  </si>
  <si>
    <t>$640,375 - County; $546,140 - Hospital District</t>
  </si>
  <si>
    <t>591 Retained; 50 New</t>
  </si>
  <si>
    <t>$122,625 - County; $105,332 - Hospital District</t>
  </si>
  <si>
    <t>Up to 80 retail jobs</t>
  </si>
  <si>
    <t>February 25, 2003</t>
  </si>
  <si>
    <t>General Motors - Plant Improvements</t>
  </si>
  <si>
    <t>60% base; up to 20% bonus for job levels;Maximum  80%</t>
  </si>
  <si>
    <t>2700 retained</t>
  </si>
  <si>
    <t>$2,187,888 - County; $1,889,990 - Hospital District</t>
  </si>
  <si>
    <t>October 7, 2003</t>
  </si>
  <si>
    <t>June 15, 2004</t>
  </si>
  <si>
    <t>Lincoln Property-Trinity Bluff Development</t>
  </si>
  <si>
    <t>Maximum 80%; reduced if revenues exceed projections in years 6-10</t>
  </si>
  <si>
    <t>$596,751 - County; $505,502 - Hosp. Dist.</t>
  </si>
  <si>
    <t>4 new full-time</t>
  </si>
  <si>
    <t>Shaded area indicates</t>
  </si>
  <si>
    <t>abatement no longer active.</t>
  </si>
  <si>
    <t>November 23, 2004</t>
  </si>
  <si>
    <t>July 12, 2005</t>
  </si>
  <si>
    <t>Cotton Depot Lofts</t>
  </si>
  <si>
    <t>$327,000 - County  $282,476-Hosp.Dist.</t>
  </si>
  <si>
    <t>7 new full-time</t>
  </si>
  <si>
    <t>August 2, 2005</t>
  </si>
  <si>
    <t>Montgomery Plaza Center</t>
  </si>
  <si>
    <t>256 new full and part-time</t>
  </si>
  <si>
    <t>County - Max. 80% on real property; Hosp. Dist. - Max. 50% on real property</t>
  </si>
  <si>
    <t>$349,368-County  $297,957-Hosp.Dist.</t>
  </si>
  <si>
    <t>Target Corporation</t>
  </si>
  <si>
    <t>Max. 80% on real property</t>
  </si>
  <si>
    <t>200 new full and part-time</t>
  </si>
  <si>
    <t>$1,363,522-County  $726,795-Hosp.Dist.</t>
  </si>
  <si>
    <t>May 16, 2006</t>
  </si>
  <si>
    <t>National Semi-Conductor</t>
  </si>
  <si>
    <t>60% base;         Bonus of up to 20% for job levels;    Maximum  80% on personal property</t>
  </si>
  <si>
    <t>$452,960 - County   $391,286-Hosp.Dist.</t>
  </si>
  <si>
    <t>Retention of 550 full-time jobs</t>
  </si>
  <si>
    <t>June 27, 2006</t>
  </si>
  <si>
    <t>$1,184,146-County   $1,022,916-Hosp.Dist.</t>
  </si>
  <si>
    <t>100 Full &amp; Part-time Jobs</t>
  </si>
  <si>
    <t>June 19, 2007</t>
  </si>
  <si>
    <t>Fidelity (FMR Texas) Expansion</t>
  </si>
  <si>
    <t>$1,800,000-County  $1,600,000-Hosp Dist</t>
  </si>
  <si>
    <t>1500 new (addition to current employment)</t>
  </si>
  <si>
    <t>50% Base; up to 25% b0nus for jobs &amp; DBE contracting Max. 75%</t>
  </si>
  <si>
    <t>Deloitte LLP</t>
  </si>
  <si>
    <t>December 30, 2008</t>
  </si>
  <si>
    <t>Pioneer 360 Business Ctr.</t>
  </si>
  <si>
    <t>50% Base; up to 25% bonus for inventory, jobs &amp; DBE contracting Max. 75% ; real prop only</t>
  </si>
  <si>
    <t>$1,089,900 - County;  No Hosp Dist Taxes Abated</t>
  </si>
  <si>
    <t>350 F.T. Jobs with various employers on site</t>
  </si>
  <si>
    <t>TCU-Berry St. Mixed-Use Development</t>
  </si>
  <si>
    <t>55% Base; up to 10% bonus for jobs, contracting, healthcare; Max. 65%</t>
  </si>
  <si>
    <t>$3,000,000 - County;  No Hospital District Taxes Abated</t>
  </si>
  <si>
    <t>100 F.T. Deloitte/Operator Jobs;  400-500 F.T. &amp; P.T. Hospitality Jobs</t>
  </si>
  <si>
    <t>Health Services Corp dba Blue Cross Blue Shield of Texas</t>
  </si>
  <si>
    <t>130 full-time (80 BCBS employees plus 50 outsourced employees)</t>
  </si>
  <si>
    <t>40% Base; 10% bonus tied to DBE use;  MAX 50%</t>
  </si>
  <si>
    <t>$4.6 million - County; No Hosp Dist Abatement granted</t>
  </si>
  <si>
    <t>November 3, 2009 (Modified Oct. 2010)</t>
  </si>
  <si>
    <t>April 10, 2007</t>
  </si>
  <si>
    <t>Omni Hotel</t>
  </si>
  <si>
    <t>$2.2 million - County; No Hosp Dist Abatement granted</t>
  </si>
  <si>
    <t>60% Base; Addtl 15% based on employment; 5% on DBE use in construction</t>
  </si>
  <si>
    <t>400 jobs: 300 to be  full-time equivilant positions</t>
  </si>
  <si>
    <t>General Motors Retooling</t>
  </si>
  <si>
    <t>2300 full-time jobs retained;  110 new jobs added</t>
  </si>
  <si>
    <t>May 17, 2011</t>
  </si>
  <si>
    <t>April 15, 2008 (Modified December 14, 2010)</t>
  </si>
  <si>
    <t>General Motors Stamping Facility</t>
  </si>
  <si>
    <t>Bell Helicopter Headquarters Modernization &amp; Consolidation</t>
  </si>
  <si>
    <t>4500 full-time jobs retained</t>
  </si>
  <si>
    <t>180 new jobs</t>
  </si>
  <si>
    <t xml:space="preserve"> January 10, 2012</t>
  </si>
  <si>
    <t>$1.6 million - County &amp; HD ($881k Cnty; $761k HD)</t>
  </si>
  <si>
    <t xml:space="preserve"> $3.8 million - County &amp; HD ($2.04m Cnty;$1.76m HD)</t>
  </si>
  <si>
    <t xml:space="preserve"> February 7, 2012</t>
  </si>
  <si>
    <t>45% Base; 25% bonus tied to added employment &amp; contracting; Max 70%</t>
  </si>
  <si>
    <t>50% Base; 20% bonus tied to added employment &amp; contracting; Max 70%</t>
  </si>
  <si>
    <t>45% Base; 25% bonus tied to added employment &amp; contracting; Max. 70%; on pers prop only</t>
  </si>
  <si>
    <t>$4.3 million-County and HD ($2.33m Cnty; $2.01m HD)</t>
  </si>
  <si>
    <t xml:space="preserve"> December 10, 2013</t>
  </si>
  <si>
    <t>Horizon Milling</t>
  </si>
  <si>
    <t>30% Base; 10% bonus tied to added jobs &amp; const. contracting; Max 40%</t>
  </si>
  <si>
    <t>$200,640 - Cnty;  $173,201 - HD</t>
  </si>
  <si>
    <t>84 jobs retained</t>
  </si>
  <si>
    <t xml:space="preserve"> June 24, 2014</t>
  </si>
  <si>
    <t>Carolina Beverage</t>
  </si>
  <si>
    <t>30% Base; 20% bonus tied to added jobs &amp; const. contracting; Max 50%</t>
  </si>
  <si>
    <t>$547,000 - Cnty only</t>
  </si>
  <si>
    <t>60 new FT Jobs</t>
  </si>
  <si>
    <t xml:space="preserve"> March 24, 2015</t>
  </si>
  <si>
    <t>Arlington Commons-Ph. 1</t>
  </si>
  <si>
    <t>Cnty - Max 70%   HD - Max 50%</t>
  </si>
  <si>
    <t>$649,000 - Cnty  $427,000 - HD</t>
  </si>
  <si>
    <t>3-8 new FT jobs</t>
  </si>
  <si>
    <t xml:space="preserve"> May 26, 2015</t>
  </si>
  <si>
    <t>Cnty - Max 60%   HD - Max 40%</t>
  </si>
  <si>
    <t>30 jobs per facility; 3 facilities acticipated</t>
  </si>
  <si>
    <t xml:space="preserve"> July 7, 2015</t>
  </si>
  <si>
    <t>General Motors-Expansion</t>
  </si>
  <si>
    <t>Max 70% - Cnty &amp; HD</t>
  </si>
  <si>
    <t>$2.5m - $3.5m - Cnty    $2.0m - $3.0m HD</t>
  </si>
  <si>
    <t>Maintain 3,179 jobs  (589 addtl jobs from prior agreement)</t>
  </si>
  <si>
    <t xml:space="preserve"> December 29, 2015</t>
  </si>
  <si>
    <t>American Airlines IOC</t>
  </si>
  <si>
    <t>Max 50% - Cnty only</t>
  </si>
  <si>
    <t>$1,161,600 - Cnty</t>
  </si>
  <si>
    <t>Maintain 1300 jobs; 800 current; 500 relocating from outside county</t>
  </si>
  <si>
    <t xml:space="preserve"> June 16, 2016</t>
  </si>
  <si>
    <t>American Airlines HQ</t>
  </si>
  <si>
    <t>$1,100,000 - Cnty  $960,000 - HD</t>
  </si>
  <si>
    <t>Maintain 4,279 FT jobs</t>
  </si>
  <si>
    <t xml:space="preserve"> October 25, 2016</t>
  </si>
  <si>
    <t xml:space="preserve"> February 21, 2017</t>
  </si>
  <si>
    <t>Race Street Development</t>
  </si>
  <si>
    <t>Max 50% - Cnty &amp; HD</t>
  </si>
  <si>
    <t>$254,000 - Cnty  $227,897 - HD</t>
  </si>
  <si>
    <t>3 FT jobs</t>
  </si>
  <si>
    <t xml:space="preserve">       Tarrant County</t>
  </si>
  <si>
    <t>Projected Investment Value</t>
  </si>
  <si>
    <t>Court Order #</t>
  </si>
  <si>
    <t>Winner LLC (Facebook)</t>
  </si>
  <si>
    <t>Airborne Tactical Advantage Company (ATAC)</t>
  </si>
  <si>
    <t xml:space="preserve"> February 13, 2018</t>
  </si>
  <si>
    <t>Haslet</t>
  </si>
  <si>
    <t>$142,740 - Cnty    $131,291 - HD</t>
  </si>
  <si>
    <t>30 jobs per facility; 2 facilities ancticipated</t>
  </si>
  <si>
    <t>281 new FT jobs</t>
  </si>
  <si>
    <t xml:space="preserve"> March 20, 2018</t>
  </si>
  <si>
    <t>Smith &amp; Nephew</t>
  </si>
  <si>
    <t>$163,000 - Cnty</t>
  </si>
  <si>
    <t>Maintain 83 jobs;  add 100 new jobs</t>
  </si>
  <si>
    <t>Active Tax Abatements</t>
  </si>
  <si>
    <t xml:space="preserve"> June 16, 2016 (modified Nov. 2017)</t>
  </si>
  <si>
    <t xml:space="preserve"> December 11, 2018</t>
  </si>
  <si>
    <t>Arlington Commons-Ph. 1C</t>
  </si>
  <si>
    <t>Arlington Commons-Ph. 1A</t>
  </si>
  <si>
    <t>Abatement Start Date</t>
  </si>
  <si>
    <t>Taxes Abated to Date</t>
  </si>
  <si>
    <t>2013</t>
  </si>
  <si>
    <t>2014</t>
  </si>
  <si>
    <t>2009</t>
  </si>
  <si>
    <t>2010</t>
  </si>
  <si>
    <t>2011</t>
  </si>
  <si>
    <t>2012</t>
  </si>
  <si>
    <t>Abated Tax Amounts (Abated Value at that year's tax rate)</t>
  </si>
  <si>
    <t>Taxes Abated To Date</t>
  </si>
  <si>
    <t>Tax Rates:</t>
  </si>
  <si>
    <t>1/1/2017 (BPP)  1/1/2018 (RP)</t>
  </si>
  <si>
    <t>1/1/2020 (estimated)</t>
  </si>
  <si>
    <t>Maximum Percent Abated</t>
  </si>
  <si>
    <t>County - 70%                   Hosp Dist - 50%</t>
  </si>
  <si>
    <t>County - 60%                   Hosp Dist - 40%</t>
  </si>
  <si>
    <t>County - 60%                    Hosp Dist - 40%</t>
  </si>
  <si>
    <t>County - 70%           Hosp Dist - 50%</t>
  </si>
  <si>
    <t>$3,000,000 - County;  No Hosp Dist</t>
  </si>
  <si>
    <t>$2.04 million - County $1.76 million -  Hosp Dist</t>
  </si>
  <si>
    <t>$2.33 million County $2.01 million Hosp Dist</t>
  </si>
  <si>
    <t>$200,640 - County  $173,201 - Hosp Dist</t>
  </si>
  <si>
    <t>$547,000 - County        No Hosp Dist</t>
  </si>
  <si>
    <t>$649,000 - County  $427,000 - Hosp Dist</t>
  </si>
  <si>
    <t>Up to $3.5 million - County                        Up to $3.0 million Hosp Dist</t>
  </si>
  <si>
    <t>$1,161,600 - County   No Hosp Dist</t>
  </si>
  <si>
    <t>$1,100,000 - County  $960,000 - Hosp Dist</t>
  </si>
  <si>
    <t>$254,000 - County  $227,897 - Hosp Dist</t>
  </si>
  <si>
    <t>$142,740 - County    $131,291 - Hosp Dist</t>
  </si>
  <si>
    <t>$163,000 - County    No Hosp Dist</t>
  </si>
  <si>
    <t>$573,000 - County  $393,000 - Hosp Dist</t>
  </si>
  <si>
    <t>(As of January 2019)</t>
  </si>
  <si>
    <t>100 F.T. Deloitte jobs;  400-500 F.T. &amp; P.T. Hospitality Jobs</t>
  </si>
  <si>
    <t xml:space="preserve">180 new </t>
  </si>
  <si>
    <t>60 new</t>
  </si>
  <si>
    <t>4500 retained</t>
  </si>
  <si>
    <t>84 retained</t>
  </si>
  <si>
    <t xml:space="preserve">3-8 new </t>
  </si>
  <si>
    <t xml:space="preserve">Maintain 3,179 jobs  </t>
  </si>
  <si>
    <t>Maintain 1300 jobs; 800 current - 500 from outside county</t>
  </si>
  <si>
    <t>Maintain 4,279 jobs</t>
  </si>
  <si>
    <t>3 new jobs</t>
  </si>
  <si>
    <t>281 new</t>
  </si>
  <si>
    <t>83 retained;  100 new</t>
  </si>
  <si>
    <t>3-8 new</t>
  </si>
  <si>
    <t>Horizon Milling  (Ardent Mills/Cargill)</t>
  </si>
  <si>
    <t>70% (BPP Only)</t>
  </si>
  <si>
    <t>$881,000 County             $761,000 Hosp Dist)</t>
  </si>
  <si>
    <t>2300 retained;  110 new</t>
  </si>
  <si>
    <t>$3.96 million per facility-County            $2.64 million per facility-Hosp Dist</t>
  </si>
  <si>
    <t>30 new per facility; 2 facilities anticipated</t>
  </si>
  <si>
    <t>General Motors Retooling (7)</t>
  </si>
  <si>
    <t>General Motors Stamping Facility (8)</t>
  </si>
  <si>
    <t>General Motors-Expansion(9/10)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</si>
</sst>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mmmm\ d\,\ yyyy"/>
    <numFmt numFmtId="165" formatCode="&quot;$&quot;#,##0"/>
    <numFmt numFmtId="170" formatCode="&quot;$&quot;#,##0.00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left" wrapText="1"/>
    </xf>
    <xf numFmtId="0" fontId="5" fillId="0" borderId="0" xfId="0" applyFont="1"/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6" fillId="0" borderId="3" xfId="0" applyNumberFormat="1" applyFont="1" applyBorder="1"/>
    <xf numFmtId="15" fontId="2" fillId="0" borderId="1" xfId="0" quotePrefix="1" applyNumberFormat="1" applyFont="1" applyBorder="1"/>
    <xf numFmtId="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164" fontId="2" fillId="2" borderId="1" xfId="0" quotePrefix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5" fontId="2" fillId="2" borderId="1" xfId="1" applyNumberFormat="1" applyFont="1" applyFill="1" applyBorder="1" applyAlignment="1">
      <alignment horizontal="left"/>
    </xf>
    <xf numFmtId="0" fontId="2" fillId="0" borderId="0" xfId="0" applyFont="1"/>
    <xf numFmtId="49" fontId="8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3" borderId="4" xfId="0" applyFont="1" applyFill="1" applyBorder="1"/>
    <xf numFmtId="0" fontId="2" fillId="3" borderId="5" xfId="0" applyFont="1" applyFill="1" applyBorder="1"/>
    <xf numFmtId="164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5" fontId="2" fillId="2" borderId="6" xfId="1" applyNumberFormat="1" applyFont="1" applyFill="1" applyBorder="1" applyAlignment="1">
      <alignment horizontal="left"/>
    </xf>
    <xf numFmtId="9" fontId="2" fillId="2" borderId="6" xfId="0" applyNumberFormat="1" applyFont="1" applyFill="1" applyBorder="1" applyAlignment="1">
      <alignment horizontal="left"/>
    </xf>
    <xf numFmtId="5" fontId="2" fillId="2" borderId="4" xfId="1" applyNumberFormat="1" applyFont="1" applyFill="1" applyBorder="1" applyAlignment="1">
      <alignment horizontal="left"/>
    </xf>
    <xf numFmtId="164" fontId="2" fillId="2" borderId="7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5" fontId="2" fillId="2" borderId="7" xfId="1" applyNumberFormat="1" applyFont="1" applyFill="1" applyBorder="1" applyAlignment="1">
      <alignment horizontal="left"/>
    </xf>
    <xf numFmtId="9" fontId="2" fillId="2" borderId="7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5" fontId="2" fillId="2" borderId="8" xfId="1" applyNumberFormat="1" applyFont="1" applyFill="1" applyBorder="1" applyAlignment="1">
      <alignment horizontal="left"/>
    </xf>
    <xf numFmtId="9" fontId="2" fillId="2" borderId="8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5" fontId="2" fillId="2" borderId="5" xfId="1" applyNumberFormat="1" applyFont="1" applyFill="1" applyBorder="1" applyAlignment="1">
      <alignment horizontal="left"/>
    </xf>
    <xf numFmtId="9" fontId="2" fillId="2" borderId="5" xfId="0" applyNumberFormat="1" applyFont="1" applyFill="1" applyBorder="1" applyAlignment="1">
      <alignment horizontal="left"/>
    </xf>
    <xf numFmtId="5" fontId="2" fillId="2" borderId="5" xfId="1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2" borderId="9" xfId="0" applyFont="1" applyFill="1" applyBorder="1"/>
    <xf numFmtId="165" fontId="2" fillId="2" borderId="8" xfId="1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65" fontId="2" fillId="2" borderId="10" xfId="1" applyNumberFormat="1" applyFont="1" applyFill="1" applyBorder="1" applyAlignment="1">
      <alignment horizontal="left"/>
    </xf>
    <xf numFmtId="9" fontId="4" fillId="2" borderId="10" xfId="0" applyNumberFormat="1" applyFont="1" applyFill="1" applyBorder="1" applyAlignment="1">
      <alignment horizontal="left" wrapText="1"/>
    </xf>
    <xf numFmtId="5" fontId="2" fillId="2" borderId="10" xfId="1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15" fontId="2" fillId="2" borderId="1" xfId="0" quotePrefix="1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165" fontId="2" fillId="2" borderId="5" xfId="0" applyNumberFormat="1" applyFont="1" applyFill="1" applyBorder="1" applyAlignment="1">
      <alignment horizontal="left"/>
    </xf>
    <xf numFmtId="165" fontId="2" fillId="2" borderId="4" xfId="1" applyNumberFormat="1" applyFont="1" applyFill="1" applyBorder="1" applyAlignment="1">
      <alignment horizontal="left"/>
    </xf>
    <xf numFmtId="165" fontId="2" fillId="2" borderId="7" xfId="1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65" fontId="2" fillId="2" borderId="12" xfId="1" applyNumberFormat="1" applyFont="1" applyFill="1" applyBorder="1" applyAlignment="1">
      <alignment horizontal="left"/>
    </xf>
    <xf numFmtId="5" fontId="2" fillId="2" borderId="12" xfId="1" applyNumberFormat="1" applyFont="1" applyFill="1" applyBorder="1" applyAlignment="1">
      <alignment horizontal="left"/>
    </xf>
    <xf numFmtId="0" fontId="2" fillId="2" borderId="1" xfId="0" quotePrefix="1" applyFont="1" applyFill="1" applyBorder="1"/>
    <xf numFmtId="165" fontId="6" fillId="0" borderId="0" xfId="0" applyNumberFormat="1" applyFont="1"/>
    <xf numFmtId="165" fontId="2" fillId="2" borderId="13" xfId="0" applyNumberFormat="1" applyFont="1" applyFill="1" applyBorder="1" applyAlignment="1">
      <alignment horizontal="left"/>
    </xf>
    <xf numFmtId="9" fontId="2" fillId="2" borderId="8" xfId="0" applyNumberFormat="1" applyFont="1" applyFill="1" applyBorder="1" applyAlignment="1">
      <alignment wrapText="1"/>
    </xf>
    <xf numFmtId="165" fontId="2" fillId="2" borderId="8" xfId="0" applyNumberFormat="1" applyFont="1" applyFill="1" applyBorder="1" applyAlignment="1">
      <alignment horizontal="left"/>
    </xf>
    <xf numFmtId="9" fontId="2" fillId="2" borderId="1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9" fontId="2" fillId="2" borderId="1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6" fontId="2" fillId="2" borderId="1" xfId="0" applyNumberFormat="1" applyFont="1" applyFill="1" applyBorder="1" applyAlignment="1">
      <alignment horizontal="left"/>
    </xf>
    <xf numFmtId="170" fontId="2" fillId="2" borderId="1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5" fontId="2" fillId="0" borderId="1" xfId="0" quotePrefix="1" applyNumberFormat="1" applyFont="1" applyBorder="1" applyAlignment="1">
      <alignment wrapText="1"/>
    </xf>
    <xf numFmtId="15" fontId="2" fillId="0" borderId="1" xfId="0" applyNumberFormat="1" applyFont="1" applyBorder="1" applyAlignment="1">
      <alignment wrapText="1"/>
    </xf>
    <xf numFmtId="0" fontId="2" fillId="0" borderId="1" xfId="0" quotePrefix="1" applyNumberFormat="1" applyFont="1" applyFill="1" applyBorder="1" applyAlignment="1">
      <alignment wrapText="1"/>
    </xf>
    <xf numFmtId="9" fontId="4" fillId="2" borderId="5" xfId="0" applyNumberFormat="1" applyFont="1" applyFill="1" applyBorder="1" applyAlignment="1">
      <alignment horizontal="left" wrapText="1"/>
    </xf>
    <xf numFmtId="3" fontId="2" fillId="2" borderId="1" xfId="0" quotePrefix="1" applyNumberFormat="1" applyFont="1" applyFill="1" applyBorder="1" applyAlignment="1">
      <alignment horizontal="left"/>
    </xf>
    <xf numFmtId="0" fontId="2" fillId="2" borderId="4" xfId="0" quotePrefix="1" applyFont="1" applyFill="1" applyBorder="1"/>
    <xf numFmtId="0" fontId="2" fillId="2" borderId="4" xfId="0" applyFont="1" applyFill="1" applyBorder="1" applyAlignment="1">
      <alignment horizontal="left" wrapText="1"/>
    </xf>
    <xf numFmtId="6" fontId="2" fillId="2" borderId="4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5" fontId="0" fillId="0" borderId="0" xfId="0" applyNumberFormat="1"/>
    <xf numFmtId="0" fontId="2" fillId="2" borderId="1" xfId="0" quotePrefix="1" applyFont="1" applyFill="1" applyBorder="1" applyAlignment="1">
      <alignment horizontal="left"/>
    </xf>
    <xf numFmtId="15" fontId="2" fillId="0" borderId="1" xfId="0" applyNumberFormat="1" applyFont="1" applyBorder="1"/>
    <xf numFmtId="15" fontId="2" fillId="2" borderId="5" xfId="0" quotePrefix="1" applyNumberFormat="1" applyFont="1" applyFill="1" applyBorder="1"/>
    <xf numFmtId="0" fontId="2" fillId="2" borderId="5" xfId="0" applyFont="1" applyFill="1" applyBorder="1"/>
    <xf numFmtId="6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9" fontId="2" fillId="2" borderId="8" xfId="0" applyNumberFormat="1" applyFont="1" applyFill="1" applyBorder="1" applyAlignment="1">
      <alignment horizontal="left" wrapText="1"/>
    </xf>
    <xf numFmtId="15" fontId="2" fillId="4" borderId="1" xfId="0" quotePrefix="1" applyNumberFormat="1" applyFont="1" applyFill="1" applyBorder="1"/>
    <xf numFmtId="0" fontId="2" fillId="4" borderId="1" xfId="0" applyFont="1" applyFill="1" applyBorder="1" applyAlignment="1">
      <alignment horizontal="left"/>
    </xf>
    <xf numFmtId="6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9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/>
    <xf numFmtId="5" fontId="2" fillId="0" borderId="1" xfId="0" applyNumberFormat="1" applyFont="1" applyBorder="1" applyAlignment="1">
      <alignment horizontal="left"/>
    </xf>
    <xf numFmtId="165" fontId="10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165" fontId="2" fillId="0" borderId="1" xfId="0" applyNumberFormat="1" applyFont="1" applyBorder="1" applyAlignment="1">
      <alignment horizontal="left"/>
    </xf>
    <xf numFmtId="15" fontId="2" fillId="0" borderId="4" xfId="0" applyNumberFormat="1" applyFont="1" applyBorder="1"/>
    <xf numFmtId="0" fontId="2" fillId="0" borderId="4" xfId="0" applyFont="1" applyBorder="1"/>
    <xf numFmtId="0" fontId="2" fillId="0" borderId="4" xfId="0" applyFont="1" applyFill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5" fontId="2" fillId="0" borderId="4" xfId="0" quotePrefix="1" applyNumberFormat="1" applyFont="1" applyBorder="1" applyAlignment="1">
      <alignment horizontal="left" wrapText="1"/>
    </xf>
    <xf numFmtId="3" fontId="2" fillId="0" borderId="1" xfId="0" applyNumberFormat="1" applyFont="1" applyBorder="1"/>
    <xf numFmtId="0" fontId="0" fillId="0" borderId="1" xfId="0" applyBorder="1"/>
    <xf numFmtId="3" fontId="2" fillId="0" borderId="1" xfId="0" applyNumberFormat="1" applyFont="1" applyBorder="1" applyAlignment="1">
      <alignment horizontal="left" wrapText="1"/>
    </xf>
    <xf numFmtId="0" fontId="0" fillId="0" borderId="15" xfId="0" applyBorder="1"/>
    <xf numFmtId="3" fontId="2" fillId="0" borderId="1" xfId="0" applyNumberFormat="1" applyFont="1" applyBorder="1" applyAlignment="1">
      <alignment wrapText="1"/>
    </xf>
    <xf numFmtId="0" fontId="2" fillId="5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" fontId="11" fillId="0" borderId="0" xfId="0" applyNumberFormat="1" applyFont="1"/>
    <xf numFmtId="49" fontId="6" fillId="5" borderId="1" xfId="0" applyNumberFormat="1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15" fontId="2" fillId="5" borderId="1" xfId="0" quotePrefix="1" applyNumberFormat="1" applyFont="1" applyFill="1" applyBorder="1"/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/>
    </xf>
    <xf numFmtId="6" fontId="2" fillId="5" borderId="1" xfId="0" applyNumberFormat="1" applyFont="1" applyFill="1" applyBorder="1" applyAlignment="1">
      <alignment horizontal="left"/>
    </xf>
    <xf numFmtId="15" fontId="2" fillId="5" borderId="1" xfId="0" quotePrefix="1" applyNumberFormat="1" applyFont="1" applyFill="1" applyBorder="1" applyAlignment="1">
      <alignment wrapText="1"/>
    </xf>
    <xf numFmtId="15" fontId="2" fillId="5" borderId="1" xfId="0" applyNumberFormat="1" applyFont="1" applyFill="1" applyBorder="1"/>
    <xf numFmtId="0" fontId="2" fillId="5" borderId="1" xfId="0" applyFont="1" applyFill="1" applyBorder="1"/>
    <xf numFmtId="5" fontId="2" fillId="5" borderId="1" xfId="0" applyNumberFormat="1" applyFont="1" applyFill="1" applyBorder="1" applyAlignment="1">
      <alignment horizontal="left"/>
    </xf>
    <xf numFmtId="165" fontId="2" fillId="5" borderId="1" xfId="0" applyNumberFormat="1" applyFont="1" applyFill="1" applyBorder="1" applyAlignment="1">
      <alignment horizontal="left"/>
    </xf>
    <xf numFmtId="5" fontId="2" fillId="5" borderId="1" xfId="0" quotePrefix="1" applyNumberFormat="1" applyFont="1" applyFill="1" applyBorder="1" applyAlignment="1">
      <alignment horizontal="left" wrapText="1"/>
    </xf>
    <xf numFmtId="3" fontId="2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49" fontId="6" fillId="5" borderId="15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6" fillId="0" borderId="1" xfId="0" applyFont="1" applyBorder="1"/>
    <xf numFmtId="165" fontId="2" fillId="5" borderId="1" xfId="0" applyNumberFormat="1" applyFont="1" applyFill="1" applyBorder="1"/>
    <xf numFmtId="0" fontId="11" fillId="0" borderId="0" xfId="0" applyFont="1"/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165" fontId="2" fillId="5" borderId="6" xfId="0" applyNumberFormat="1" applyFont="1" applyFill="1" applyBorder="1" applyAlignment="1">
      <alignment horizontal="left"/>
    </xf>
    <xf numFmtId="165" fontId="2" fillId="0" borderId="1" xfId="0" applyNumberFormat="1" applyFont="1" applyBorder="1"/>
    <xf numFmtId="9" fontId="2" fillId="5" borderId="1" xfId="0" applyNumberFormat="1" applyFont="1" applyFill="1" applyBorder="1" applyAlignment="1">
      <alignment horizontal="left" wrapText="1"/>
    </xf>
    <xf numFmtId="49" fontId="6" fillId="6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wrapText="1"/>
    </xf>
    <xf numFmtId="49" fontId="6" fillId="6" borderId="2" xfId="0" applyNumberFormat="1" applyFont="1" applyFill="1" applyBorder="1" applyAlignment="1">
      <alignment horizontal="center"/>
    </xf>
    <xf numFmtId="49" fontId="6" fillId="6" borderId="3" xfId="0" applyNumberFormat="1" applyFont="1" applyFill="1" applyBorder="1"/>
    <xf numFmtId="0" fontId="9" fillId="0" borderId="0" xfId="2" applyAlignment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rrantcounty.com/content/dam/main/administration/Court-Order-Documents/ArlingtonCommonsPh1.pdf" TargetMode="External"/><Relationship Id="rId13" Type="http://schemas.openxmlformats.org/officeDocument/2006/relationships/hyperlink" Target="http://www.tarrantcounty.com/content/dam/main/administration/Court-Order-Documents/AmericanAirlinesIOC.pdf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tarrantcounty.com/content/dam/main/administration/Court-Order-Documents/GeneralMotorsRetooling.pdf" TargetMode="External"/><Relationship Id="rId7" Type="http://schemas.openxmlformats.org/officeDocument/2006/relationships/hyperlink" Target="http://www.tarrantcounty.com/content/dam/main/administration/Court-Order-Documents/CarolinaBeverage.pdf" TargetMode="External"/><Relationship Id="rId12" Type="http://schemas.openxmlformats.org/officeDocument/2006/relationships/hyperlink" Target="http://www.tarrantcounty.com/content/dam/main/administration/Court-Order-Documents/RaceStreet.pdf" TargetMode="External"/><Relationship Id="rId17" Type="http://schemas.openxmlformats.org/officeDocument/2006/relationships/hyperlink" Target="http://www.tarrantcounty.com/content/dam/main/administration/Court-Order-Documents/GeneralMotorsExpansion.pdf" TargetMode="External"/><Relationship Id="rId2" Type="http://schemas.openxmlformats.org/officeDocument/2006/relationships/hyperlink" Target="http://www.tarrantcounty.com/content/dam/main/administration/Court-Order-Documents/Deloitte.pdf" TargetMode="External"/><Relationship Id="rId16" Type="http://schemas.openxmlformats.org/officeDocument/2006/relationships/hyperlink" Target="http://www.tarrantcounty.com/content/dam/main/administration/Court-Order-Documents/ArlingtonCommonsPh1.pdf" TargetMode="External"/><Relationship Id="rId1" Type="http://schemas.openxmlformats.org/officeDocument/2006/relationships/hyperlink" Target="http://www.tarrantcounty.com/content/dam/main/administration/Court-Order-Documents/FidelityExpansion.pdf" TargetMode="External"/><Relationship Id="rId6" Type="http://schemas.openxmlformats.org/officeDocument/2006/relationships/hyperlink" Target="http://www.tarrantcounty.com/content/dam/main/administration/Court-Order-Documents/HorizonMilling.pdf" TargetMode="External"/><Relationship Id="rId11" Type="http://schemas.openxmlformats.org/officeDocument/2006/relationships/hyperlink" Target="http://www.tarrantcounty.com/content/dam/main/administration/Court-Order-Documents/SmithNephew.pdf" TargetMode="External"/><Relationship Id="rId5" Type="http://schemas.openxmlformats.org/officeDocument/2006/relationships/hyperlink" Target="http://www.tarrantcounty.com/content/dam/main/administration/Court-Order-Documents/BellHelicopterHQ.pdf" TargetMode="External"/><Relationship Id="rId15" Type="http://schemas.openxmlformats.org/officeDocument/2006/relationships/hyperlink" Target="http://www.tarrantcounty.com/content/dam/main/administration/Court-Order-Documents/AmericanAirlinesHQ.pdf" TargetMode="External"/><Relationship Id="rId10" Type="http://schemas.openxmlformats.org/officeDocument/2006/relationships/hyperlink" Target="http://www.tarrantcounty.com/content/dam/main/administration/Court-Order-Documents/WinnerLLC2ndAgreement.pdf" TargetMode="External"/><Relationship Id="rId4" Type="http://schemas.openxmlformats.org/officeDocument/2006/relationships/hyperlink" Target="http://www.tarrantcounty.com/content/dam/main/administration/Court-Order-Documents/GeneralMotorsStamping.pdf" TargetMode="External"/><Relationship Id="rId9" Type="http://schemas.openxmlformats.org/officeDocument/2006/relationships/hyperlink" Target="http://www.tarrantcounty.com/content/dam/main/administration/Court-Order-Documents/WinnerLLCFirstAgreement.pdf" TargetMode="External"/><Relationship Id="rId14" Type="http://schemas.openxmlformats.org/officeDocument/2006/relationships/hyperlink" Target="http://www.tarrantcounty.com/content/dam/main/administration/Court-Order-Documents/AT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workbookViewId="0">
      <pane ySplit="3" topLeftCell="A75" activePane="bottomLeft" state="frozen"/>
      <selection pane="bottomLeft" activeCell="A75" sqref="A75:I75"/>
    </sheetView>
  </sheetViews>
  <sheetFormatPr defaultRowHeight="12.75" x14ac:dyDescent="0.2"/>
  <cols>
    <col min="1" max="1" width="14.28515625" customWidth="1"/>
    <col min="2" max="2" width="7.85546875" customWidth="1"/>
    <col min="3" max="3" width="18.5703125" customWidth="1"/>
    <col min="4" max="4" width="11.28515625" customWidth="1"/>
    <col min="5" max="5" width="18.28515625" customWidth="1"/>
    <col min="6" max="6" width="12.28515625" customWidth="1"/>
    <col min="7" max="7" width="11.7109375" customWidth="1"/>
    <col min="8" max="8" width="14.7109375" customWidth="1"/>
    <col min="9" max="9" width="15.42578125" customWidth="1"/>
    <col min="10" max="10" width="23.28515625" hidden="1" customWidth="1"/>
    <col min="11" max="11" width="18.7109375" hidden="1" customWidth="1"/>
  </cols>
  <sheetData>
    <row r="1" spans="1:11" ht="20.25" x14ac:dyDescent="0.3">
      <c r="E1" s="5" t="s">
        <v>252</v>
      </c>
    </row>
    <row r="2" spans="1:11" ht="20.25" x14ac:dyDescent="0.3">
      <c r="D2" s="5" t="s">
        <v>68</v>
      </c>
    </row>
    <row r="3" spans="1:11" s="1" customFormat="1" ht="38.25" x14ac:dyDescent="0.2">
      <c r="A3" s="6" t="s">
        <v>94</v>
      </c>
      <c r="B3" s="8" t="s">
        <v>254</v>
      </c>
      <c r="C3" s="6" t="s">
        <v>0</v>
      </c>
      <c r="D3" s="7" t="s">
        <v>1</v>
      </c>
      <c r="E3" s="8" t="s">
        <v>253</v>
      </c>
      <c r="F3" s="8" t="s">
        <v>69</v>
      </c>
      <c r="G3" s="9" t="s">
        <v>2</v>
      </c>
      <c r="H3" s="8" t="s">
        <v>70</v>
      </c>
      <c r="I3" s="8" t="s">
        <v>127</v>
      </c>
      <c r="J3" s="19" t="s">
        <v>128</v>
      </c>
    </row>
    <row r="4" spans="1:11" x14ac:dyDescent="0.2">
      <c r="A4" s="24">
        <v>32602</v>
      </c>
      <c r="B4" s="24"/>
      <c r="C4" s="25" t="s">
        <v>13</v>
      </c>
      <c r="D4" s="25" t="s">
        <v>3</v>
      </c>
      <c r="E4" s="26">
        <v>25000000</v>
      </c>
      <c r="F4" s="27">
        <v>1</v>
      </c>
      <c r="G4" s="25">
        <v>10</v>
      </c>
      <c r="H4" s="28">
        <v>1100000</v>
      </c>
      <c r="I4" s="25" t="s">
        <v>6</v>
      </c>
      <c r="K4">
        <v>25000000</v>
      </c>
    </row>
    <row r="5" spans="1:11" x14ac:dyDescent="0.2">
      <c r="A5" s="29">
        <v>32952</v>
      </c>
      <c r="B5" s="29"/>
      <c r="C5" s="30" t="s">
        <v>4</v>
      </c>
      <c r="D5" s="30" t="s">
        <v>5</v>
      </c>
      <c r="E5" s="31">
        <v>92900000</v>
      </c>
      <c r="F5" s="32" t="s">
        <v>8</v>
      </c>
      <c r="G5" s="30">
        <v>10</v>
      </c>
      <c r="H5" s="31">
        <v>586007</v>
      </c>
      <c r="I5" s="33">
        <v>2000</v>
      </c>
      <c r="J5" s="3"/>
      <c r="K5">
        <v>92900000</v>
      </c>
    </row>
    <row r="6" spans="1:11" x14ac:dyDescent="0.2">
      <c r="A6" s="60"/>
      <c r="B6" s="60"/>
      <c r="C6" s="61" t="s">
        <v>76</v>
      </c>
      <c r="D6" s="62"/>
      <c r="E6" s="64"/>
      <c r="F6" s="62"/>
      <c r="G6" s="62"/>
      <c r="H6" s="64"/>
      <c r="I6" s="76"/>
      <c r="J6" s="3"/>
    </row>
    <row r="7" spans="1:11" ht="13.5" thickBot="1" x14ac:dyDescent="0.25">
      <c r="A7" s="34">
        <v>33540</v>
      </c>
      <c r="B7" s="34"/>
      <c r="C7" s="35" t="s">
        <v>7</v>
      </c>
      <c r="D7" s="35" t="s">
        <v>3</v>
      </c>
      <c r="E7" s="36">
        <v>15536675</v>
      </c>
      <c r="F7" s="37">
        <v>0.75</v>
      </c>
      <c r="G7" s="35">
        <v>10</v>
      </c>
      <c r="H7" s="36">
        <v>515687</v>
      </c>
      <c r="I7" s="35">
        <v>183</v>
      </c>
      <c r="K7">
        <v>15536675</v>
      </c>
    </row>
    <row r="8" spans="1:11" x14ac:dyDescent="0.2">
      <c r="A8" s="38">
        <v>33624</v>
      </c>
      <c r="B8" s="38"/>
      <c r="C8" s="39" t="s">
        <v>9</v>
      </c>
      <c r="D8" s="39" t="s">
        <v>10</v>
      </c>
      <c r="E8" s="40">
        <v>3000000</v>
      </c>
      <c r="F8" s="41">
        <v>1</v>
      </c>
      <c r="G8" s="39">
        <v>10</v>
      </c>
      <c r="H8" s="42">
        <v>132760</v>
      </c>
      <c r="I8" s="39">
        <v>10</v>
      </c>
      <c r="K8">
        <v>3000000</v>
      </c>
    </row>
    <row r="9" spans="1:11" x14ac:dyDescent="0.2">
      <c r="A9" s="43">
        <v>33652</v>
      </c>
      <c r="B9" s="43"/>
      <c r="C9" s="14" t="s">
        <v>11</v>
      </c>
      <c r="D9" s="14" t="s">
        <v>5</v>
      </c>
      <c r="E9" s="15">
        <v>120000000</v>
      </c>
      <c r="F9" s="16">
        <v>0.96</v>
      </c>
      <c r="G9" s="14">
        <v>10</v>
      </c>
      <c r="H9" s="17">
        <v>2379333</v>
      </c>
      <c r="I9" s="14">
        <v>710</v>
      </c>
      <c r="K9">
        <v>120000000</v>
      </c>
    </row>
    <row r="10" spans="1:11" x14ac:dyDescent="0.2">
      <c r="A10" s="43">
        <v>33792</v>
      </c>
      <c r="B10" s="43"/>
      <c r="C10" s="14" t="s">
        <v>12</v>
      </c>
      <c r="D10" s="14" t="s">
        <v>3</v>
      </c>
      <c r="E10" s="15">
        <v>7271000</v>
      </c>
      <c r="F10" s="16">
        <v>1</v>
      </c>
      <c r="G10" s="14">
        <v>10</v>
      </c>
      <c r="H10" s="17">
        <v>382909</v>
      </c>
      <c r="I10" s="14">
        <v>24</v>
      </c>
      <c r="K10">
        <v>7271000</v>
      </c>
    </row>
    <row r="11" spans="1:11" ht="13.5" thickBot="1" x14ac:dyDescent="0.25">
      <c r="A11" s="34">
        <v>33834</v>
      </c>
      <c r="B11" s="34"/>
      <c r="C11" s="35" t="s">
        <v>14</v>
      </c>
      <c r="D11" s="44" t="s">
        <v>15</v>
      </c>
      <c r="E11" s="45">
        <v>1500000</v>
      </c>
      <c r="F11" s="37">
        <v>1</v>
      </c>
      <c r="G11" s="35">
        <v>5</v>
      </c>
      <c r="H11" s="36">
        <v>33000</v>
      </c>
      <c r="I11" s="35">
        <v>75</v>
      </c>
      <c r="K11" s="86">
        <f t="shared" ref="K11:K20" si="0">+E11</f>
        <v>1500000</v>
      </c>
    </row>
    <row r="12" spans="1:11" x14ac:dyDescent="0.2">
      <c r="A12" s="38">
        <v>34002</v>
      </c>
      <c r="B12" s="38"/>
      <c r="C12" s="39" t="s">
        <v>16</v>
      </c>
      <c r="D12" s="39" t="s">
        <v>3</v>
      </c>
      <c r="E12" s="40">
        <v>5500000</v>
      </c>
      <c r="F12" s="41">
        <v>1</v>
      </c>
      <c r="G12" s="39">
        <v>5</v>
      </c>
      <c r="H12" s="42">
        <v>121000</v>
      </c>
      <c r="I12" s="39">
        <v>55</v>
      </c>
      <c r="K12" s="86">
        <f t="shared" si="0"/>
        <v>5500000</v>
      </c>
    </row>
    <row r="13" spans="1:11" x14ac:dyDescent="0.2">
      <c r="A13" s="43">
        <v>34065</v>
      </c>
      <c r="B13" s="43"/>
      <c r="C13" s="14" t="s">
        <v>4</v>
      </c>
      <c r="D13" s="14" t="s">
        <v>5</v>
      </c>
      <c r="E13" s="15">
        <v>34628000</v>
      </c>
      <c r="F13" s="16">
        <v>1</v>
      </c>
      <c r="G13" s="14">
        <v>10</v>
      </c>
      <c r="H13" s="17">
        <v>1484374</v>
      </c>
      <c r="I13" s="14">
        <v>250</v>
      </c>
      <c r="K13" s="86">
        <f t="shared" si="0"/>
        <v>34628000</v>
      </c>
    </row>
    <row r="14" spans="1:11" ht="56.25" x14ac:dyDescent="0.2">
      <c r="A14" s="13" t="s">
        <v>93</v>
      </c>
      <c r="B14" s="13"/>
      <c r="C14" s="14" t="s">
        <v>17</v>
      </c>
      <c r="D14" s="14" t="s">
        <v>3</v>
      </c>
      <c r="E14" s="15">
        <v>11000000</v>
      </c>
      <c r="F14" s="16">
        <v>0.5</v>
      </c>
      <c r="G14" s="14">
        <v>10</v>
      </c>
      <c r="H14" s="17">
        <v>2756</v>
      </c>
      <c r="I14" s="14">
        <v>200</v>
      </c>
      <c r="K14" s="86">
        <f t="shared" si="0"/>
        <v>11000000</v>
      </c>
    </row>
    <row r="15" spans="1:11" x14ac:dyDescent="0.2">
      <c r="A15" s="43">
        <v>34093</v>
      </c>
      <c r="B15" s="43"/>
      <c r="C15" s="14" t="s">
        <v>18</v>
      </c>
      <c r="D15" s="14" t="s">
        <v>3</v>
      </c>
      <c r="E15" s="15">
        <v>10000000</v>
      </c>
      <c r="F15" s="16">
        <v>1</v>
      </c>
      <c r="G15" s="14">
        <v>10</v>
      </c>
      <c r="H15" s="17">
        <v>500000</v>
      </c>
      <c r="I15" s="14">
        <v>1241</v>
      </c>
      <c r="K15" s="86">
        <f t="shared" si="0"/>
        <v>10000000</v>
      </c>
    </row>
    <row r="16" spans="1:11" x14ac:dyDescent="0.2">
      <c r="A16" s="43">
        <v>34107</v>
      </c>
      <c r="B16" s="43"/>
      <c r="C16" s="14" t="s">
        <v>19</v>
      </c>
      <c r="D16" s="14" t="s">
        <v>3</v>
      </c>
      <c r="E16" s="15">
        <v>11800000</v>
      </c>
      <c r="F16" s="14">
        <v>1005</v>
      </c>
      <c r="G16" s="14">
        <v>10</v>
      </c>
      <c r="H16" s="17">
        <v>591000</v>
      </c>
      <c r="I16" s="14">
        <v>266</v>
      </c>
      <c r="K16" s="86">
        <f t="shared" si="0"/>
        <v>11800000</v>
      </c>
    </row>
    <row r="17" spans="1:11" x14ac:dyDescent="0.2">
      <c r="A17" s="43">
        <v>34149</v>
      </c>
      <c r="B17" s="43"/>
      <c r="C17" s="14" t="s">
        <v>20</v>
      </c>
      <c r="D17" s="14" t="s">
        <v>3</v>
      </c>
      <c r="E17" s="15">
        <v>28000000</v>
      </c>
      <c r="F17" s="16">
        <v>0.7</v>
      </c>
      <c r="G17" s="14">
        <v>10</v>
      </c>
      <c r="H17" s="17">
        <v>982000</v>
      </c>
      <c r="I17" s="14">
        <v>1500</v>
      </c>
      <c r="K17" s="86">
        <f t="shared" si="0"/>
        <v>28000000</v>
      </c>
    </row>
    <row r="18" spans="1:11" x14ac:dyDescent="0.2">
      <c r="A18" s="43">
        <v>34184</v>
      </c>
      <c r="B18" s="43"/>
      <c r="C18" s="14" t="s">
        <v>21</v>
      </c>
      <c r="D18" s="14" t="s">
        <v>22</v>
      </c>
      <c r="E18" s="15">
        <v>11919000</v>
      </c>
      <c r="F18" s="16">
        <v>1</v>
      </c>
      <c r="G18" s="14">
        <v>10</v>
      </c>
      <c r="H18" s="17">
        <v>600000</v>
      </c>
      <c r="I18" s="14">
        <v>150</v>
      </c>
      <c r="K18" s="86">
        <f t="shared" si="0"/>
        <v>11919000</v>
      </c>
    </row>
    <row r="19" spans="1:11" x14ac:dyDescent="0.2">
      <c r="A19" s="24">
        <v>34303</v>
      </c>
      <c r="B19" s="24"/>
      <c r="C19" s="25" t="s">
        <v>23</v>
      </c>
      <c r="D19" s="25" t="s">
        <v>10</v>
      </c>
      <c r="E19" s="57">
        <v>669210</v>
      </c>
      <c r="F19" s="25">
        <v>100</v>
      </c>
      <c r="G19" s="25">
        <v>10</v>
      </c>
      <c r="H19" s="28">
        <v>34396</v>
      </c>
      <c r="I19" s="25">
        <v>10</v>
      </c>
      <c r="K19" s="86">
        <f t="shared" si="0"/>
        <v>669210</v>
      </c>
    </row>
    <row r="20" spans="1:11" ht="19.5" x14ac:dyDescent="0.2">
      <c r="A20" s="29">
        <v>34492</v>
      </c>
      <c r="B20" s="29"/>
      <c r="C20" s="30" t="s">
        <v>24</v>
      </c>
      <c r="D20" s="30" t="s">
        <v>25</v>
      </c>
      <c r="E20" s="58">
        <v>16000000</v>
      </c>
      <c r="F20" s="59" t="s">
        <v>26</v>
      </c>
      <c r="G20" s="30">
        <v>9</v>
      </c>
      <c r="H20" s="31">
        <v>370066</v>
      </c>
      <c r="I20" s="25">
        <v>75</v>
      </c>
      <c r="K20" s="86">
        <f t="shared" si="0"/>
        <v>16000000</v>
      </c>
    </row>
    <row r="21" spans="1:11" x14ac:dyDescent="0.2">
      <c r="A21" s="60"/>
      <c r="B21" s="60"/>
      <c r="C21" s="61" t="s">
        <v>27</v>
      </c>
      <c r="D21" s="62"/>
      <c r="E21" s="63"/>
      <c r="F21" s="62"/>
      <c r="G21" s="62"/>
      <c r="H21" s="64"/>
      <c r="I21" s="39"/>
    </row>
    <row r="22" spans="1:11" x14ac:dyDescent="0.2">
      <c r="A22" s="38">
        <v>34555</v>
      </c>
      <c r="B22" s="38"/>
      <c r="C22" s="39" t="s">
        <v>28</v>
      </c>
      <c r="D22" s="39" t="s">
        <v>5</v>
      </c>
      <c r="E22" s="40">
        <v>73000000</v>
      </c>
      <c r="F22" s="41">
        <v>0.85</v>
      </c>
      <c r="G22" s="39">
        <v>10</v>
      </c>
      <c r="H22" s="42">
        <v>2551397</v>
      </c>
      <c r="I22" s="39">
        <v>200</v>
      </c>
      <c r="K22" s="86">
        <f>+E22</f>
        <v>73000000</v>
      </c>
    </row>
    <row r="23" spans="1:11" ht="13.5" thickBot="1" x14ac:dyDescent="0.25">
      <c r="A23" s="34">
        <v>34576</v>
      </c>
      <c r="B23" s="34"/>
      <c r="C23" s="35" t="s">
        <v>29</v>
      </c>
      <c r="D23" s="35" t="s">
        <v>22</v>
      </c>
      <c r="E23" s="45">
        <v>2620000</v>
      </c>
      <c r="F23" s="37">
        <v>1</v>
      </c>
      <c r="G23" s="35">
        <v>10</v>
      </c>
      <c r="H23" s="36">
        <v>135000</v>
      </c>
      <c r="I23" s="35">
        <v>325</v>
      </c>
      <c r="K23" s="86">
        <f>+E23</f>
        <v>2620000</v>
      </c>
    </row>
    <row r="24" spans="1:11" x14ac:dyDescent="0.2">
      <c r="A24" s="38">
        <v>34709</v>
      </c>
      <c r="B24" s="38"/>
      <c r="C24" s="39" t="s">
        <v>30</v>
      </c>
      <c r="D24" s="39" t="s">
        <v>3</v>
      </c>
      <c r="E24" s="40">
        <v>28000000</v>
      </c>
      <c r="F24" s="41">
        <v>1</v>
      </c>
      <c r="G24" s="39">
        <v>10</v>
      </c>
      <c r="H24" s="42">
        <v>1446228</v>
      </c>
      <c r="I24" s="39">
        <v>475</v>
      </c>
      <c r="K24" s="86">
        <f t="shared" ref="K24:K78" si="1">+E24</f>
        <v>28000000</v>
      </c>
    </row>
    <row r="25" spans="1:11" x14ac:dyDescent="0.2">
      <c r="A25" s="43">
        <v>34744</v>
      </c>
      <c r="B25" s="43"/>
      <c r="C25" s="14" t="s">
        <v>31</v>
      </c>
      <c r="D25" s="14" t="s">
        <v>3</v>
      </c>
      <c r="E25" s="15">
        <v>57200000</v>
      </c>
      <c r="F25" s="16">
        <v>1</v>
      </c>
      <c r="G25" s="14">
        <v>10</v>
      </c>
      <c r="H25" s="17">
        <v>2954437</v>
      </c>
      <c r="I25" s="14">
        <v>1800</v>
      </c>
      <c r="K25" s="86">
        <f t="shared" si="1"/>
        <v>57200000</v>
      </c>
    </row>
    <row r="26" spans="1:11" x14ac:dyDescent="0.2">
      <c r="A26" s="43">
        <v>34751</v>
      </c>
      <c r="B26" s="43"/>
      <c r="C26" s="14" t="s">
        <v>4</v>
      </c>
      <c r="D26" s="14" t="s">
        <v>5</v>
      </c>
      <c r="E26" s="15">
        <v>63987000</v>
      </c>
      <c r="F26" s="16">
        <v>1</v>
      </c>
      <c r="G26" s="14">
        <v>10</v>
      </c>
      <c r="H26" s="17">
        <v>3304992</v>
      </c>
      <c r="I26" s="14">
        <v>1500</v>
      </c>
      <c r="K26" s="86">
        <f t="shared" si="1"/>
        <v>63987000</v>
      </c>
    </row>
    <row r="27" spans="1:11" x14ac:dyDescent="0.2">
      <c r="A27" s="43">
        <v>34765</v>
      </c>
      <c r="B27" s="43"/>
      <c r="C27" s="14" t="s">
        <v>32</v>
      </c>
      <c r="D27" s="14" t="s">
        <v>33</v>
      </c>
      <c r="E27" s="15">
        <v>5516000</v>
      </c>
      <c r="F27" s="16">
        <v>0.75</v>
      </c>
      <c r="G27" s="14">
        <v>10</v>
      </c>
      <c r="H27" s="17">
        <v>213680</v>
      </c>
      <c r="I27" s="14">
        <v>300</v>
      </c>
      <c r="K27" s="86">
        <f t="shared" si="1"/>
        <v>5516000</v>
      </c>
    </row>
    <row r="28" spans="1:11" x14ac:dyDescent="0.2">
      <c r="A28" s="43">
        <v>34912</v>
      </c>
      <c r="B28" s="43"/>
      <c r="C28" s="14" t="s">
        <v>34</v>
      </c>
      <c r="D28" s="14" t="s">
        <v>3</v>
      </c>
      <c r="E28" s="15">
        <v>7000000</v>
      </c>
      <c r="F28" s="16">
        <v>1</v>
      </c>
      <c r="G28" s="14">
        <v>10</v>
      </c>
      <c r="H28" s="17">
        <v>361550</v>
      </c>
      <c r="I28" s="14">
        <v>7</v>
      </c>
      <c r="K28" s="86">
        <f t="shared" si="1"/>
        <v>7000000</v>
      </c>
    </row>
    <row r="29" spans="1:11" ht="23.25" thickBot="1" x14ac:dyDescent="0.25">
      <c r="A29" s="34">
        <v>34940</v>
      </c>
      <c r="B29" s="34"/>
      <c r="C29" s="35" t="s">
        <v>35</v>
      </c>
      <c r="D29" s="35" t="s">
        <v>3</v>
      </c>
      <c r="E29" s="67">
        <v>14000000</v>
      </c>
      <c r="F29" s="68" t="s">
        <v>37</v>
      </c>
      <c r="G29" s="35">
        <v>10</v>
      </c>
      <c r="H29" s="69">
        <v>271167</v>
      </c>
      <c r="I29" s="35">
        <v>200</v>
      </c>
      <c r="K29" s="86">
        <f t="shared" si="1"/>
        <v>14000000</v>
      </c>
    </row>
    <row r="30" spans="1:11" x14ac:dyDescent="0.2">
      <c r="A30" s="38">
        <v>35094</v>
      </c>
      <c r="B30" s="38"/>
      <c r="C30" s="39" t="s">
        <v>36</v>
      </c>
      <c r="D30" s="39" t="s">
        <v>33</v>
      </c>
      <c r="E30" s="48">
        <v>18000000</v>
      </c>
      <c r="F30" s="70">
        <v>0.75</v>
      </c>
      <c r="G30" s="47">
        <v>10</v>
      </c>
      <c r="H30" s="50">
        <v>682924</v>
      </c>
      <c r="I30" s="47">
        <v>316</v>
      </c>
      <c r="K30" s="86">
        <f t="shared" si="1"/>
        <v>18000000</v>
      </c>
    </row>
    <row r="31" spans="1:11" x14ac:dyDescent="0.2">
      <c r="A31" s="43">
        <v>35213</v>
      </c>
      <c r="B31" s="43"/>
      <c r="C31" s="14" t="s">
        <v>38</v>
      </c>
      <c r="D31" s="14" t="s">
        <v>5</v>
      </c>
      <c r="E31" s="40">
        <v>5000000</v>
      </c>
      <c r="F31" s="39" t="s">
        <v>39</v>
      </c>
      <c r="G31" s="39">
        <v>10</v>
      </c>
      <c r="H31" s="42">
        <v>196710</v>
      </c>
      <c r="I31" s="39">
        <v>100</v>
      </c>
      <c r="K31" s="86">
        <f t="shared" si="1"/>
        <v>5000000</v>
      </c>
    </row>
    <row r="32" spans="1:11" x14ac:dyDescent="0.2">
      <c r="A32" s="43">
        <v>35255</v>
      </c>
      <c r="B32" s="43"/>
      <c r="C32" s="14" t="s">
        <v>40</v>
      </c>
      <c r="D32" s="14" t="s">
        <v>5</v>
      </c>
      <c r="E32" s="54">
        <v>2809000</v>
      </c>
      <c r="F32" s="14" t="s">
        <v>41</v>
      </c>
      <c r="G32" s="14">
        <v>5</v>
      </c>
      <c r="H32" s="17">
        <v>35560</v>
      </c>
      <c r="I32" s="14">
        <v>50</v>
      </c>
      <c r="K32" s="86">
        <f t="shared" si="1"/>
        <v>2809000</v>
      </c>
    </row>
    <row r="33" spans="1:11" ht="13.5" thickBot="1" x14ac:dyDescent="0.25">
      <c r="A33" s="34">
        <v>35402</v>
      </c>
      <c r="B33" s="34"/>
      <c r="C33" s="35" t="s">
        <v>45</v>
      </c>
      <c r="D33" s="35" t="s">
        <v>3</v>
      </c>
      <c r="E33" s="45">
        <v>1500000</v>
      </c>
      <c r="F33" s="37">
        <v>1</v>
      </c>
      <c r="G33" s="35">
        <v>10</v>
      </c>
      <c r="H33" s="36">
        <v>74836</v>
      </c>
      <c r="I33" s="35">
        <v>48</v>
      </c>
      <c r="K33" s="86">
        <f t="shared" si="1"/>
        <v>1500000</v>
      </c>
    </row>
    <row r="34" spans="1:11" x14ac:dyDescent="0.2">
      <c r="A34" s="38">
        <v>35451</v>
      </c>
      <c r="B34" s="38"/>
      <c r="C34" s="39" t="s">
        <v>4</v>
      </c>
      <c r="D34" s="39" t="s">
        <v>5</v>
      </c>
      <c r="E34" s="15">
        <v>264000000</v>
      </c>
      <c r="F34" s="14" t="s">
        <v>42</v>
      </c>
      <c r="G34" s="14">
        <v>10</v>
      </c>
      <c r="H34" s="17">
        <v>5704301</v>
      </c>
      <c r="I34" s="14">
        <v>1500</v>
      </c>
      <c r="K34" s="86">
        <f t="shared" si="1"/>
        <v>264000000</v>
      </c>
    </row>
    <row r="35" spans="1:11" x14ac:dyDescent="0.2">
      <c r="A35" s="43">
        <v>35479</v>
      </c>
      <c r="B35" s="43"/>
      <c r="C35" s="14" t="s">
        <v>43</v>
      </c>
      <c r="D35" s="14" t="s">
        <v>3</v>
      </c>
      <c r="E35" s="54">
        <v>21528000</v>
      </c>
      <c r="F35" s="16">
        <v>1</v>
      </c>
      <c r="G35" s="14">
        <v>10</v>
      </c>
      <c r="H35" s="17">
        <v>1074045</v>
      </c>
      <c r="I35" s="14">
        <v>6</v>
      </c>
      <c r="K35" s="86">
        <f t="shared" si="1"/>
        <v>21528000</v>
      </c>
    </row>
    <row r="36" spans="1:11" x14ac:dyDescent="0.2">
      <c r="A36" s="43">
        <v>35640</v>
      </c>
      <c r="B36" s="43"/>
      <c r="C36" s="14" t="s">
        <v>44</v>
      </c>
      <c r="D36" s="14" t="s">
        <v>3</v>
      </c>
      <c r="E36" s="15">
        <v>7400000</v>
      </c>
      <c r="F36" s="16">
        <v>0.75</v>
      </c>
      <c r="G36" s="14">
        <v>10</v>
      </c>
      <c r="H36" s="17">
        <v>276894</v>
      </c>
      <c r="I36" s="14">
        <v>150</v>
      </c>
      <c r="K36" s="86">
        <f t="shared" si="1"/>
        <v>7400000</v>
      </c>
    </row>
    <row r="37" spans="1:11" ht="23.25" thickBot="1" x14ac:dyDescent="0.25">
      <c r="A37" s="34">
        <v>35752</v>
      </c>
      <c r="B37" s="34"/>
      <c r="C37" s="35" t="s">
        <v>11</v>
      </c>
      <c r="D37" s="35" t="s">
        <v>5</v>
      </c>
      <c r="E37" s="45">
        <v>216800000</v>
      </c>
      <c r="F37" s="35" t="s">
        <v>42</v>
      </c>
      <c r="G37" s="73" t="s">
        <v>67</v>
      </c>
      <c r="H37" s="36">
        <v>3000000</v>
      </c>
      <c r="I37" s="35">
        <v>1275</v>
      </c>
      <c r="K37" s="86">
        <f t="shared" si="1"/>
        <v>216800000</v>
      </c>
    </row>
    <row r="38" spans="1:11" ht="45.75" x14ac:dyDescent="0.2">
      <c r="A38" s="46">
        <v>35822</v>
      </c>
      <c r="B38" s="46"/>
      <c r="C38" s="47" t="s">
        <v>51</v>
      </c>
      <c r="D38" s="47" t="s">
        <v>25</v>
      </c>
      <c r="E38" s="48">
        <v>22000000</v>
      </c>
      <c r="F38" s="49" t="s">
        <v>66</v>
      </c>
      <c r="G38" s="47">
        <v>3</v>
      </c>
      <c r="H38" s="50">
        <v>329227</v>
      </c>
      <c r="I38" s="47">
        <v>38</v>
      </c>
      <c r="K38" s="86">
        <f t="shared" si="1"/>
        <v>22000000</v>
      </c>
    </row>
    <row r="39" spans="1:11" ht="67.5" x14ac:dyDescent="0.2">
      <c r="A39" s="38">
        <v>35829</v>
      </c>
      <c r="B39" s="38"/>
      <c r="C39" s="39" t="s">
        <v>46</v>
      </c>
      <c r="D39" s="39" t="s">
        <v>47</v>
      </c>
      <c r="E39" s="56">
        <v>3000000</v>
      </c>
      <c r="F39" s="51" t="s">
        <v>62</v>
      </c>
      <c r="G39" s="39">
        <v>10</v>
      </c>
      <c r="H39" s="42">
        <v>106259</v>
      </c>
      <c r="I39" s="39">
        <v>100</v>
      </c>
      <c r="K39" s="86">
        <f t="shared" si="1"/>
        <v>3000000</v>
      </c>
    </row>
    <row r="40" spans="1:11" ht="22.5" x14ac:dyDescent="0.2">
      <c r="A40" s="43">
        <v>35864</v>
      </c>
      <c r="B40" s="43"/>
      <c r="C40" s="71" t="s">
        <v>48</v>
      </c>
      <c r="D40" s="14" t="s">
        <v>5</v>
      </c>
      <c r="E40" s="15">
        <v>11300000</v>
      </c>
      <c r="F40" s="72" t="s">
        <v>61</v>
      </c>
      <c r="G40" s="14">
        <v>10</v>
      </c>
      <c r="H40" s="17">
        <v>336761</v>
      </c>
      <c r="I40" s="14">
        <v>800</v>
      </c>
      <c r="K40" s="86">
        <f t="shared" si="1"/>
        <v>11300000</v>
      </c>
    </row>
    <row r="41" spans="1:11" ht="67.5" x14ac:dyDescent="0.2">
      <c r="A41" s="38">
        <v>35864</v>
      </c>
      <c r="B41" s="38"/>
      <c r="C41" s="51" t="s">
        <v>49</v>
      </c>
      <c r="D41" s="39" t="s">
        <v>33</v>
      </c>
      <c r="E41" s="40">
        <v>12000000</v>
      </c>
      <c r="F41" s="51" t="s">
        <v>64</v>
      </c>
      <c r="G41" s="39">
        <v>10</v>
      </c>
      <c r="H41" s="42">
        <v>688488</v>
      </c>
      <c r="I41" s="39">
        <v>395</v>
      </c>
      <c r="K41" s="86">
        <f t="shared" si="1"/>
        <v>12000000</v>
      </c>
    </row>
    <row r="42" spans="1:11" ht="67.5" x14ac:dyDescent="0.2">
      <c r="A42" s="43">
        <v>35885</v>
      </c>
      <c r="B42" s="43"/>
      <c r="C42" s="14" t="s">
        <v>50</v>
      </c>
      <c r="D42" s="14" t="s">
        <v>47</v>
      </c>
      <c r="E42" s="54">
        <v>4600000</v>
      </c>
      <c r="F42" s="51" t="s">
        <v>62</v>
      </c>
      <c r="G42" s="14">
        <v>10</v>
      </c>
      <c r="H42" s="17">
        <v>162935</v>
      </c>
      <c r="I42" s="14">
        <v>100</v>
      </c>
      <c r="K42" s="86">
        <f t="shared" si="1"/>
        <v>4600000</v>
      </c>
    </row>
    <row r="43" spans="1:11" ht="54.75" x14ac:dyDescent="0.2">
      <c r="A43" s="38">
        <v>35927</v>
      </c>
      <c r="B43" s="38"/>
      <c r="C43" s="51" t="s">
        <v>52</v>
      </c>
      <c r="D43" s="39" t="s">
        <v>3</v>
      </c>
      <c r="E43" s="56">
        <v>15400000</v>
      </c>
      <c r="F43" s="80" t="s">
        <v>65</v>
      </c>
      <c r="G43" s="39">
        <v>10</v>
      </c>
      <c r="H43" s="42">
        <v>576771</v>
      </c>
      <c r="I43" s="39">
        <v>12</v>
      </c>
      <c r="K43" s="86">
        <f t="shared" si="1"/>
        <v>15400000</v>
      </c>
    </row>
    <row r="44" spans="1:11" ht="22.5" x14ac:dyDescent="0.2">
      <c r="A44" s="43">
        <v>36004</v>
      </c>
      <c r="B44" s="43"/>
      <c r="C44" s="71" t="s">
        <v>53</v>
      </c>
      <c r="D44" s="14" t="s">
        <v>3</v>
      </c>
      <c r="E44" s="15">
        <v>29000000</v>
      </c>
      <c r="F44" s="72" t="s">
        <v>63</v>
      </c>
      <c r="G44" s="14">
        <v>10</v>
      </c>
      <c r="H44" s="17">
        <v>1047702</v>
      </c>
      <c r="I44" s="14">
        <v>425</v>
      </c>
      <c r="K44" s="86">
        <f t="shared" si="1"/>
        <v>29000000</v>
      </c>
    </row>
    <row r="45" spans="1:11" ht="56.25" x14ac:dyDescent="0.2">
      <c r="A45" s="38">
        <v>36011</v>
      </c>
      <c r="B45" s="38"/>
      <c r="C45" s="51" t="s">
        <v>56</v>
      </c>
      <c r="D45" s="39" t="s">
        <v>33</v>
      </c>
      <c r="E45" s="40">
        <v>6300000</v>
      </c>
      <c r="F45" s="51" t="s">
        <v>57</v>
      </c>
      <c r="G45" s="39">
        <v>5</v>
      </c>
      <c r="H45" s="42">
        <v>37418</v>
      </c>
      <c r="I45" s="39" t="s">
        <v>58</v>
      </c>
      <c r="K45" s="86">
        <f t="shared" si="1"/>
        <v>6300000</v>
      </c>
    </row>
    <row r="46" spans="1:11" ht="23.25" thickBot="1" x14ac:dyDescent="0.25">
      <c r="A46" s="34">
        <v>36074</v>
      </c>
      <c r="B46" s="34"/>
      <c r="C46" s="73" t="s">
        <v>54</v>
      </c>
      <c r="D46" s="35" t="s">
        <v>55</v>
      </c>
      <c r="E46" s="69">
        <v>75000000</v>
      </c>
      <c r="F46" s="93" t="s">
        <v>59</v>
      </c>
      <c r="G46" s="35">
        <v>10</v>
      </c>
      <c r="H46" s="36">
        <v>2993436</v>
      </c>
      <c r="I46" s="35" t="s">
        <v>60</v>
      </c>
      <c r="K46" s="86">
        <f t="shared" si="1"/>
        <v>75000000</v>
      </c>
    </row>
    <row r="47" spans="1:11" ht="45" x14ac:dyDescent="0.2">
      <c r="A47" s="89" t="s">
        <v>71</v>
      </c>
      <c r="B47" s="89"/>
      <c r="C47" s="90" t="s">
        <v>72</v>
      </c>
      <c r="D47" s="90" t="s">
        <v>73</v>
      </c>
      <c r="E47" s="91" t="s">
        <v>74</v>
      </c>
      <c r="F47" s="41">
        <v>0.9</v>
      </c>
      <c r="G47" s="39" t="s">
        <v>75</v>
      </c>
      <c r="H47" s="42">
        <v>12626647</v>
      </c>
      <c r="I47" s="92">
        <v>9800</v>
      </c>
      <c r="K47" s="86">
        <v>50000000</v>
      </c>
    </row>
    <row r="48" spans="1:11" ht="45" x14ac:dyDescent="0.2">
      <c r="A48" s="52" t="s">
        <v>77</v>
      </c>
      <c r="B48" s="52"/>
      <c r="C48" s="53" t="s">
        <v>78</v>
      </c>
      <c r="D48" s="53" t="s">
        <v>5</v>
      </c>
      <c r="E48" s="74">
        <v>36500000</v>
      </c>
      <c r="F48" s="55" t="s">
        <v>79</v>
      </c>
      <c r="G48" s="71" t="s">
        <v>80</v>
      </c>
      <c r="H48" s="17">
        <v>726292</v>
      </c>
      <c r="I48" s="85">
        <v>1000</v>
      </c>
      <c r="K48" s="86">
        <f t="shared" si="1"/>
        <v>36500000</v>
      </c>
    </row>
    <row r="49" spans="1:11" ht="22.5" x14ac:dyDescent="0.2">
      <c r="A49" s="52" t="s">
        <v>81</v>
      </c>
      <c r="B49" s="52"/>
      <c r="C49" s="55" t="s">
        <v>82</v>
      </c>
      <c r="D49" s="53" t="s">
        <v>10</v>
      </c>
      <c r="E49" s="74">
        <v>38000000</v>
      </c>
      <c r="F49" s="16">
        <v>0.85</v>
      </c>
      <c r="G49" s="14">
        <v>10</v>
      </c>
      <c r="H49" s="54">
        <v>555259</v>
      </c>
      <c r="I49" s="14">
        <v>146</v>
      </c>
      <c r="K49" s="86">
        <f t="shared" si="1"/>
        <v>38000000</v>
      </c>
    </row>
    <row r="50" spans="1:11" ht="45" x14ac:dyDescent="0.2">
      <c r="A50" s="65" t="s">
        <v>83</v>
      </c>
      <c r="B50" s="65"/>
      <c r="C50" s="71" t="s">
        <v>84</v>
      </c>
      <c r="D50" s="14" t="s">
        <v>5</v>
      </c>
      <c r="E50" s="81" t="s">
        <v>87</v>
      </c>
      <c r="F50" s="71" t="s">
        <v>85</v>
      </c>
      <c r="G50" s="71" t="s">
        <v>80</v>
      </c>
      <c r="H50" s="74">
        <v>569073</v>
      </c>
      <c r="I50" s="14">
        <v>500</v>
      </c>
      <c r="K50" s="86" t="str">
        <f t="shared" si="1"/>
        <v>$22,600,000</v>
      </c>
    </row>
    <row r="51" spans="1:11" ht="45" x14ac:dyDescent="0.2">
      <c r="A51" s="82" t="s">
        <v>83</v>
      </c>
      <c r="B51" s="82"/>
      <c r="C51" s="83" t="s">
        <v>86</v>
      </c>
      <c r="D51" s="25" t="s">
        <v>5</v>
      </c>
      <c r="E51" s="84">
        <v>555000000</v>
      </c>
      <c r="F51" s="83" t="s">
        <v>88</v>
      </c>
      <c r="G51" s="25">
        <v>10</v>
      </c>
      <c r="H51" s="84">
        <v>11300000</v>
      </c>
      <c r="I51" s="33">
        <v>2100</v>
      </c>
      <c r="K51" s="86">
        <f t="shared" si="1"/>
        <v>555000000</v>
      </c>
    </row>
    <row r="52" spans="1:11" ht="45" x14ac:dyDescent="0.2">
      <c r="A52" s="87" t="s">
        <v>89</v>
      </c>
      <c r="B52" s="87"/>
      <c r="C52" s="71" t="s">
        <v>90</v>
      </c>
      <c r="D52" s="14" t="s">
        <v>3</v>
      </c>
      <c r="E52" s="87" t="s">
        <v>91</v>
      </c>
      <c r="F52" s="71" t="s">
        <v>92</v>
      </c>
      <c r="G52" s="14">
        <v>10</v>
      </c>
      <c r="H52" s="74">
        <v>489619</v>
      </c>
      <c r="I52" s="14">
        <v>166</v>
      </c>
      <c r="K52" s="86" t="str">
        <f t="shared" si="1"/>
        <v>$21,750,000</v>
      </c>
    </row>
    <row r="53" spans="1:11" ht="72.400000000000006" customHeight="1" x14ac:dyDescent="0.2">
      <c r="A53" s="52" t="s">
        <v>95</v>
      </c>
      <c r="B53" s="52"/>
      <c r="C53" s="53" t="s">
        <v>96</v>
      </c>
      <c r="D53" s="53" t="s">
        <v>3</v>
      </c>
      <c r="E53" s="74">
        <v>319800000</v>
      </c>
      <c r="F53" s="71" t="s">
        <v>98</v>
      </c>
      <c r="G53" s="14">
        <v>10</v>
      </c>
      <c r="H53" s="74">
        <v>5094668</v>
      </c>
      <c r="I53" s="14" t="s">
        <v>101</v>
      </c>
      <c r="K53" s="86">
        <f t="shared" si="1"/>
        <v>319800000</v>
      </c>
    </row>
    <row r="54" spans="1:11" ht="73.150000000000006" customHeight="1" x14ac:dyDescent="0.2">
      <c r="A54" s="52" t="s">
        <v>97</v>
      </c>
      <c r="B54" s="52"/>
      <c r="C54" s="53" t="s">
        <v>96</v>
      </c>
      <c r="D54" s="53" t="s">
        <v>33</v>
      </c>
      <c r="E54" s="74">
        <v>92000000</v>
      </c>
      <c r="F54" s="55" t="s">
        <v>99</v>
      </c>
      <c r="G54" s="65" t="s">
        <v>100</v>
      </c>
      <c r="H54" s="75">
        <v>557128</v>
      </c>
      <c r="I54" s="55" t="s">
        <v>102</v>
      </c>
      <c r="K54" s="86">
        <f t="shared" si="1"/>
        <v>92000000</v>
      </c>
    </row>
    <row r="55" spans="1:11" ht="78.75" x14ac:dyDescent="0.2">
      <c r="A55" s="52" t="s">
        <v>107</v>
      </c>
      <c r="B55" s="52"/>
      <c r="C55" s="53" t="s">
        <v>103</v>
      </c>
      <c r="D55" s="53" t="s">
        <v>3</v>
      </c>
      <c r="E55" s="55" t="s">
        <v>104</v>
      </c>
      <c r="F55" s="55" t="s">
        <v>105</v>
      </c>
      <c r="G55" s="14">
        <v>10</v>
      </c>
      <c r="H55" s="54">
        <v>394759</v>
      </c>
      <c r="I55" s="71" t="s">
        <v>106</v>
      </c>
      <c r="K55" s="86">
        <v>5250000</v>
      </c>
    </row>
    <row r="56" spans="1:11" ht="48" customHeight="1" x14ac:dyDescent="0.2">
      <c r="A56" s="52" t="s">
        <v>108</v>
      </c>
      <c r="B56" s="52"/>
      <c r="C56" s="53" t="s">
        <v>11</v>
      </c>
      <c r="D56" s="53" t="s">
        <v>5</v>
      </c>
      <c r="E56" s="54">
        <v>25000000</v>
      </c>
      <c r="F56" s="55" t="s">
        <v>109</v>
      </c>
      <c r="G56" s="14">
        <v>10</v>
      </c>
      <c r="H56" s="74">
        <v>462985</v>
      </c>
      <c r="I56" s="53" t="s">
        <v>113</v>
      </c>
      <c r="K56" s="86">
        <f t="shared" si="1"/>
        <v>25000000</v>
      </c>
    </row>
    <row r="57" spans="1:11" ht="33.75" x14ac:dyDescent="0.2">
      <c r="A57" s="52" t="s">
        <v>110</v>
      </c>
      <c r="B57" s="52"/>
      <c r="C57" s="53" t="s">
        <v>111</v>
      </c>
      <c r="D57" s="53" t="s">
        <v>5</v>
      </c>
      <c r="E57" s="54">
        <v>3000000</v>
      </c>
      <c r="F57" s="55" t="s">
        <v>112</v>
      </c>
      <c r="G57" s="14">
        <v>10</v>
      </c>
      <c r="H57" s="54">
        <v>91707</v>
      </c>
      <c r="I57" s="53" t="s">
        <v>114</v>
      </c>
      <c r="K57" s="86">
        <v>0</v>
      </c>
    </row>
    <row r="58" spans="1:11" ht="78.75" x14ac:dyDescent="0.2">
      <c r="A58" s="52" t="s">
        <v>122</v>
      </c>
      <c r="B58" s="52"/>
      <c r="C58" s="53" t="s">
        <v>115</v>
      </c>
      <c r="D58" s="53" t="s">
        <v>3</v>
      </c>
      <c r="E58" s="54">
        <v>15700000</v>
      </c>
      <c r="F58" s="55" t="s">
        <v>116</v>
      </c>
      <c r="G58" s="14">
        <v>10</v>
      </c>
      <c r="H58" s="54">
        <v>599180</v>
      </c>
      <c r="I58" s="53" t="s">
        <v>117</v>
      </c>
      <c r="K58" s="86">
        <f t="shared" si="1"/>
        <v>15700000</v>
      </c>
    </row>
    <row r="59" spans="1:11" ht="112.5" x14ac:dyDescent="0.2">
      <c r="A59" s="65" t="s">
        <v>121</v>
      </c>
      <c r="B59" s="65"/>
      <c r="C59" s="53" t="s">
        <v>118</v>
      </c>
      <c r="D59" s="53" t="s">
        <v>3</v>
      </c>
      <c r="E59" s="54">
        <v>33000000</v>
      </c>
      <c r="F59" s="55" t="s">
        <v>119</v>
      </c>
      <c r="G59" s="14">
        <v>10</v>
      </c>
      <c r="H59" s="54">
        <v>936280</v>
      </c>
      <c r="I59" s="53" t="s">
        <v>120</v>
      </c>
      <c r="K59" s="86">
        <v>0</v>
      </c>
    </row>
    <row r="60" spans="1:11" ht="52.5" customHeight="1" x14ac:dyDescent="0.2">
      <c r="A60" s="94" t="s">
        <v>126</v>
      </c>
      <c r="B60" s="94"/>
      <c r="C60" s="95" t="s">
        <v>123</v>
      </c>
      <c r="D60" s="95" t="s">
        <v>3</v>
      </c>
      <c r="E60" s="96">
        <v>43500000</v>
      </c>
      <c r="F60" s="97" t="s">
        <v>132</v>
      </c>
      <c r="G60" s="95">
        <v>10</v>
      </c>
      <c r="H60" s="97" t="s">
        <v>133</v>
      </c>
      <c r="I60" s="95" t="s">
        <v>131</v>
      </c>
      <c r="K60" s="86">
        <f t="shared" si="1"/>
        <v>43500000</v>
      </c>
    </row>
    <row r="61" spans="1:11" ht="39" customHeight="1" x14ac:dyDescent="0.2">
      <c r="A61" s="94" t="s">
        <v>138</v>
      </c>
      <c r="B61" s="94"/>
      <c r="C61" s="95" t="s">
        <v>124</v>
      </c>
      <c r="D61" s="95" t="s">
        <v>3</v>
      </c>
      <c r="E61" s="96">
        <v>50000000</v>
      </c>
      <c r="F61" s="98">
        <v>0.9</v>
      </c>
      <c r="G61" s="95">
        <v>10</v>
      </c>
      <c r="H61" s="97" t="s">
        <v>136</v>
      </c>
      <c r="I61" s="95" t="s">
        <v>137</v>
      </c>
      <c r="K61" s="86">
        <f t="shared" si="1"/>
        <v>50000000</v>
      </c>
    </row>
    <row r="62" spans="1:11" ht="60.4" customHeight="1" x14ac:dyDescent="0.2">
      <c r="A62" s="94" t="s">
        <v>143</v>
      </c>
      <c r="B62" s="94"/>
      <c r="C62" s="95" t="s">
        <v>125</v>
      </c>
      <c r="D62" s="95" t="s">
        <v>3</v>
      </c>
      <c r="E62" s="99" t="s">
        <v>129</v>
      </c>
      <c r="F62" s="97" t="s">
        <v>130</v>
      </c>
      <c r="G62" s="95">
        <v>10</v>
      </c>
      <c r="H62" s="97" t="s">
        <v>134</v>
      </c>
      <c r="I62" s="97" t="s">
        <v>135</v>
      </c>
      <c r="K62" s="86">
        <v>10000000</v>
      </c>
    </row>
    <row r="63" spans="1:11" ht="49.9" customHeight="1" x14ac:dyDescent="0.2">
      <c r="A63" s="94" t="s">
        <v>144</v>
      </c>
      <c r="B63" s="94"/>
      <c r="C63" s="97" t="s">
        <v>139</v>
      </c>
      <c r="D63" s="95" t="s">
        <v>5</v>
      </c>
      <c r="E63" s="96">
        <v>160000000</v>
      </c>
      <c r="F63" s="97" t="s">
        <v>140</v>
      </c>
      <c r="G63" s="95">
        <v>10</v>
      </c>
      <c r="H63" s="97" t="s">
        <v>142</v>
      </c>
      <c r="I63" s="95" t="s">
        <v>141</v>
      </c>
      <c r="K63" s="86">
        <f t="shared" si="1"/>
        <v>160000000</v>
      </c>
    </row>
    <row r="64" spans="1:11" ht="60.4" customHeight="1" x14ac:dyDescent="0.2">
      <c r="A64" s="94" t="s">
        <v>151</v>
      </c>
      <c r="B64" s="94"/>
      <c r="C64" s="97" t="s">
        <v>145</v>
      </c>
      <c r="D64" s="95" t="s">
        <v>3</v>
      </c>
      <c r="E64" s="96">
        <v>25000000</v>
      </c>
      <c r="F64" s="97" t="s">
        <v>146</v>
      </c>
      <c r="G64" s="95">
        <v>10</v>
      </c>
      <c r="H64" s="97" t="s">
        <v>147</v>
      </c>
      <c r="I64" s="95" t="s">
        <v>148</v>
      </c>
      <c r="K64" s="86">
        <f t="shared" si="1"/>
        <v>25000000</v>
      </c>
    </row>
    <row r="65" spans="1:11" ht="69" customHeight="1" x14ac:dyDescent="0.2">
      <c r="A65" s="94" t="s">
        <v>152</v>
      </c>
      <c r="B65" s="94"/>
      <c r="C65" s="97" t="s">
        <v>153</v>
      </c>
      <c r="D65" s="95" t="s">
        <v>3</v>
      </c>
      <c r="E65" s="96">
        <v>15000000</v>
      </c>
      <c r="F65" s="97" t="s">
        <v>146</v>
      </c>
      <c r="G65" s="95">
        <v>10</v>
      </c>
      <c r="H65" s="97" t="s">
        <v>154</v>
      </c>
      <c r="I65" s="95" t="s">
        <v>155</v>
      </c>
      <c r="K65" s="86">
        <f t="shared" si="1"/>
        <v>15000000</v>
      </c>
    </row>
    <row r="66" spans="1:11" ht="53.65" customHeight="1" x14ac:dyDescent="0.2">
      <c r="A66" s="94" t="s">
        <v>156</v>
      </c>
      <c r="B66" s="94"/>
      <c r="C66" s="97" t="s">
        <v>157</v>
      </c>
      <c r="D66" s="95" t="s">
        <v>3</v>
      </c>
      <c r="E66" s="96">
        <v>42500000</v>
      </c>
      <c r="F66" s="97" t="s">
        <v>159</v>
      </c>
      <c r="G66" s="95">
        <v>10</v>
      </c>
      <c r="H66" s="97" t="s">
        <v>164</v>
      </c>
      <c r="I66" s="97" t="s">
        <v>158</v>
      </c>
      <c r="K66" s="86">
        <f t="shared" si="1"/>
        <v>42500000</v>
      </c>
    </row>
    <row r="67" spans="1:11" ht="37.15" customHeight="1" x14ac:dyDescent="0.2">
      <c r="A67" s="94" t="s">
        <v>156</v>
      </c>
      <c r="B67" s="94"/>
      <c r="C67" s="97" t="s">
        <v>161</v>
      </c>
      <c r="D67" s="95" t="s">
        <v>3</v>
      </c>
      <c r="E67" s="96">
        <v>8750000</v>
      </c>
      <c r="F67" s="97" t="s">
        <v>162</v>
      </c>
      <c r="G67" s="95">
        <v>10</v>
      </c>
      <c r="H67" s="97" t="s">
        <v>160</v>
      </c>
      <c r="I67" s="97" t="s">
        <v>163</v>
      </c>
      <c r="K67" s="86">
        <f t="shared" si="1"/>
        <v>8750000</v>
      </c>
    </row>
    <row r="68" spans="1:11" ht="58.15" customHeight="1" x14ac:dyDescent="0.2">
      <c r="A68" s="94" t="s">
        <v>165</v>
      </c>
      <c r="B68" s="94"/>
      <c r="C68" s="97" t="s">
        <v>166</v>
      </c>
      <c r="D68" s="95" t="s">
        <v>5</v>
      </c>
      <c r="E68" s="96">
        <v>87000000</v>
      </c>
      <c r="F68" s="100" t="s">
        <v>167</v>
      </c>
      <c r="G68" s="95">
        <v>10</v>
      </c>
      <c r="H68" s="97" t="s">
        <v>168</v>
      </c>
      <c r="I68" s="97" t="s">
        <v>169</v>
      </c>
      <c r="K68" s="86">
        <f t="shared" si="1"/>
        <v>87000000</v>
      </c>
    </row>
    <row r="69" spans="1:11" ht="54" customHeight="1" x14ac:dyDescent="0.2">
      <c r="A69" s="94" t="s">
        <v>170</v>
      </c>
      <c r="B69" s="94"/>
      <c r="C69" s="97" t="s">
        <v>184</v>
      </c>
      <c r="D69" s="95" t="s">
        <v>3</v>
      </c>
      <c r="E69" s="96">
        <v>50000000</v>
      </c>
      <c r="F69" s="97" t="s">
        <v>146</v>
      </c>
      <c r="G69" s="95">
        <v>10</v>
      </c>
      <c r="H69" s="97" t="s">
        <v>171</v>
      </c>
      <c r="I69" s="97" t="s">
        <v>172</v>
      </c>
      <c r="K69" s="86">
        <f t="shared" si="1"/>
        <v>50000000</v>
      </c>
    </row>
    <row r="70" spans="1:11" ht="58.9" customHeight="1" x14ac:dyDescent="0.2">
      <c r="A70" s="10" t="s">
        <v>193</v>
      </c>
      <c r="B70" s="10"/>
      <c r="C70" s="4" t="s">
        <v>194</v>
      </c>
      <c r="D70" s="2" t="s">
        <v>3</v>
      </c>
      <c r="E70" s="11">
        <v>140000000</v>
      </c>
      <c r="F70" s="4" t="s">
        <v>196</v>
      </c>
      <c r="G70" s="2">
        <v>10</v>
      </c>
      <c r="H70" s="4" t="s">
        <v>195</v>
      </c>
      <c r="I70" s="4" t="s">
        <v>197</v>
      </c>
      <c r="K70" s="86">
        <f t="shared" si="1"/>
        <v>140000000</v>
      </c>
    </row>
    <row r="71" spans="1:11" ht="55.5" customHeight="1" x14ac:dyDescent="0.2">
      <c r="A71" s="10" t="s">
        <v>173</v>
      </c>
      <c r="B71" s="10"/>
      <c r="C71" s="4" t="s">
        <v>174</v>
      </c>
      <c r="D71" s="2" t="s">
        <v>55</v>
      </c>
      <c r="E71" s="11">
        <v>100000000</v>
      </c>
      <c r="F71" s="4" t="s">
        <v>177</v>
      </c>
      <c r="G71" s="2">
        <v>10</v>
      </c>
      <c r="H71" s="4" t="s">
        <v>175</v>
      </c>
      <c r="I71" s="4" t="s">
        <v>176</v>
      </c>
      <c r="K71" s="86">
        <f t="shared" si="1"/>
        <v>100000000</v>
      </c>
    </row>
    <row r="72" spans="1:11" ht="65.25" customHeight="1" x14ac:dyDescent="0.2">
      <c r="A72" s="77" t="s">
        <v>201</v>
      </c>
      <c r="B72" s="77"/>
      <c r="C72" s="4" t="s">
        <v>178</v>
      </c>
      <c r="D72" s="2" t="s">
        <v>55</v>
      </c>
      <c r="E72" s="11">
        <v>175000000</v>
      </c>
      <c r="F72" s="4" t="s">
        <v>185</v>
      </c>
      <c r="G72" s="2">
        <v>10</v>
      </c>
      <c r="H72" s="4" t="s">
        <v>186</v>
      </c>
      <c r="I72" s="4" t="s">
        <v>187</v>
      </c>
      <c r="K72" s="86">
        <f t="shared" si="1"/>
        <v>175000000</v>
      </c>
    </row>
    <row r="73" spans="1:11" ht="78" customHeight="1" x14ac:dyDescent="0.2">
      <c r="A73" s="94" t="s">
        <v>179</v>
      </c>
      <c r="B73" s="94"/>
      <c r="C73" s="97" t="s">
        <v>180</v>
      </c>
      <c r="D73" s="95" t="s">
        <v>5</v>
      </c>
      <c r="E73" s="96">
        <v>75000000</v>
      </c>
      <c r="F73" s="97" t="s">
        <v>181</v>
      </c>
      <c r="G73" s="95">
        <v>10</v>
      </c>
      <c r="H73" s="97" t="s">
        <v>182</v>
      </c>
      <c r="I73" s="97" t="s">
        <v>183</v>
      </c>
      <c r="K73" s="86">
        <f t="shared" si="1"/>
        <v>75000000</v>
      </c>
    </row>
    <row r="74" spans="1:11" ht="75" customHeight="1" x14ac:dyDescent="0.2">
      <c r="A74" s="79" t="s">
        <v>192</v>
      </c>
      <c r="B74" s="79"/>
      <c r="C74" s="78" t="s">
        <v>188</v>
      </c>
      <c r="D74" s="2" t="s">
        <v>3</v>
      </c>
      <c r="E74" s="11">
        <v>175000000</v>
      </c>
      <c r="F74" s="4" t="s">
        <v>190</v>
      </c>
      <c r="G74" s="2">
        <v>10</v>
      </c>
      <c r="H74" s="4" t="s">
        <v>191</v>
      </c>
      <c r="I74" s="4" t="s">
        <v>189</v>
      </c>
      <c r="K74" s="86">
        <f t="shared" si="1"/>
        <v>175000000</v>
      </c>
    </row>
    <row r="75" spans="1:11" ht="78" customHeight="1" x14ac:dyDescent="0.2">
      <c r="A75" s="10" t="s">
        <v>200</v>
      </c>
      <c r="B75" s="10"/>
      <c r="C75" s="4" t="s">
        <v>198</v>
      </c>
      <c r="D75" s="2" t="s">
        <v>5</v>
      </c>
      <c r="E75" s="11">
        <v>254000000</v>
      </c>
      <c r="F75" s="4" t="s">
        <v>212</v>
      </c>
      <c r="G75" s="2">
        <v>7</v>
      </c>
      <c r="H75" s="4" t="s">
        <v>207</v>
      </c>
      <c r="I75" s="4" t="s">
        <v>199</v>
      </c>
      <c r="K75" s="86">
        <f t="shared" si="1"/>
        <v>254000000</v>
      </c>
    </row>
    <row r="76" spans="1:11" ht="59.25" customHeight="1" x14ac:dyDescent="0.2">
      <c r="A76" s="88" t="s">
        <v>206</v>
      </c>
      <c r="B76" s="88"/>
      <c r="C76" s="4" t="s">
        <v>202</v>
      </c>
      <c r="D76" s="2" t="s">
        <v>5</v>
      </c>
      <c r="E76" s="11">
        <v>200000000</v>
      </c>
      <c r="F76" s="4" t="s">
        <v>210</v>
      </c>
      <c r="G76" s="2">
        <v>10</v>
      </c>
      <c r="H76" s="4" t="s">
        <v>208</v>
      </c>
      <c r="I76" s="4" t="s">
        <v>205</v>
      </c>
      <c r="K76" s="86">
        <f t="shared" si="1"/>
        <v>200000000</v>
      </c>
    </row>
    <row r="77" spans="1:11" ht="59.25" customHeight="1" x14ac:dyDescent="0.2">
      <c r="A77" s="88" t="s">
        <v>209</v>
      </c>
      <c r="B77" s="88"/>
      <c r="C77" s="4" t="s">
        <v>203</v>
      </c>
      <c r="D77" s="2" t="s">
        <v>3</v>
      </c>
      <c r="E77" s="11">
        <v>235000000</v>
      </c>
      <c r="F77" s="4" t="s">
        <v>211</v>
      </c>
      <c r="G77" s="2">
        <v>10</v>
      </c>
      <c r="H77" s="4" t="s">
        <v>213</v>
      </c>
      <c r="I77" s="4" t="s">
        <v>204</v>
      </c>
      <c r="K77" s="86">
        <f t="shared" si="1"/>
        <v>235000000</v>
      </c>
    </row>
    <row r="78" spans="1:11" ht="51.4" customHeight="1" x14ac:dyDescent="0.2">
      <c r="A78" s="10" t="s">
        <v>214</v>
      </c>
      <c r="B78" s="10"/>
      <c r="C78" s="4" t="s">
        <v>215</v>
      </c>
      <c r="D78" s="2" t="s">
        <v>47</v>
      </c>
      <c r="E78" s="11">
        <v>38000000</v>
      </c>
      <c r="F78" s="4" t="s">
        <v>216</v>
      </c>
      <c r="G78" s="2">
        <v>5</v>
      </c>
      <c r="H78" s="4" t="s">
        <v>217</v>
      </c>
      <c r="I78" s="4" t="s">
        <v>218</v>
      </c>
      <c r="K78" s="86">
        <f t="shared" si="1"/>
        <v>38000000</v>
      </c>
    </row>
    <row r="79" spans="1:11" ht="52.5" customHeight="1" x14ac:dyDescent="0.2">
      <c r="A79" s="101" t="s">
        <v>219</v>
      </c>
      <c r="B79" s="101"/>
      <c r="C79" s="2" t="s">
        <v>220</v>
      </c>
      <c r="D79" s="2" t="s">
        <v>3</v>
      </c>
      <c r="E79" s="102">
        <v>45000000</v>
      </c>
      <c r="F79" s="4" t="s">
        <v>221</v>
      </c>
      <c r="G79" s="2">
        <v>10</v>
      </c>
      <c r="H79" s="2" t="s">
        <v>222</v>
      </c>
      <c r="I79" s="2" t="s">
        <v>223</v>
      </c>
      <c r="K79" s="86">
        <f>SUM(K20:K75)</f>
        <v>3530960000</v>
      </c>
    </row>
    <row r="80" spans="1:11" ht="34.9" customHeight="1" x14ac:dyDescent="0.2">
      <c r="A80" s="106" t="s">
        <v>224</v>
      </c>
      <c r="B80" s="106"/>
      <c r="C80" s="107" t="s">
        <v>225</v>
      </c>
      <c r="D80" s="108" t="s">
        <v>5</v>
      </c>
      <c r="E80" s="109">
        <v>37000000</v>
      </c>
      <c r="F80" s="110" t="s">
        <v>226</v>
      </c>
      <c r="G80" s="111">
        <v>10</v>
      </c>
      <c r="H80" s="112" t="s">
        <v>227</v>
      </c>
      <c r="I80" s="107" t="s">
        <v>228</v>
      </c>
    </row>
    <row r="81" spans="1:12" ht="39" customHeight="1" x14ac:dyDescent="0.2">
      <c r="A81" s="88" t="s">
        <v>229</v>
      </c>
      <c r="B81" s="88"/>
      <c r="C81" s="101" t="s">
        <v>255</v>
      </c>
      <c r="D81" s="101" t="s">
        <v>3</v>
      </c>
      <c r="E81" s="105">
        <v>750000000</v>
      </c>
      <c r="F81" s="4" t="s">
        <v>230</v>
      </c>
      <c r="G81" s="2">
        <v>10</v>
      </c>
      <c r="H81" s="113"/>
      <c r="I81" s="4" t="s">
        <v>231</v>
      </c>
      <c r="J81" s="114"/>
      <c r="K81" s="114"/>
      <c r="L81" s="116"/>
    </row>
    <row r="82" spans="1:12" ht="31.9" customHeight="1" x14ac:dyDescent="0.2">
      <c r="A82" s="101" t="s">
        <v>232</v>
      </c>
      <c r="B82" s="101"/>
      <c r="C82" s="101" t="s">
        <v>233</v>
      </c>
      <c r="D82" s="101" t="s">
        <v>5</v>
      </c>
      <c r="E82" s="105">
        <v>1200000000</v>
      </c>
      <c r="F82" s="4" t="s">
        <v>234</v>
      </c>
      <c r="G82" s="2">
        <v>10</v>
      </c>
      <c r="H82" s="115" t="s">
        <v>235</v>
      </c>
      <c r="I82" s="12" t="s">
        <v>236</v>
      </c>
    </row>
    <row r="83" spans="1:12" ht="42" customHeight="1" x14ac:dyDescent="0.2">
      <c r="A83" s="101" t="s">
        <v>237</v>
      </c>
      <c r="B83" s="101"/>
      <c r="C83" s="101" t="s">
        <v>238</v>
      </c>
      <c r="D83" s="101" t="s">
        <v>3</v>
      </c>
      <c r="E83" s="105">
        <v>55000000</v>
      </c>
      <c r="F83" s="4" t="s">
        <v>239</v>
      </c>
      <c r="G83" s="2">
        <v>10</v>
      </c>
      <c r="H83" s="101" t="s">
        <v>240</v>
      </c>
      <c r="I83" s="117" t="s">
        <v>241</v>
      </c>
    </row>
    <row r="84" spans="1:12" ht="33" customHeight="1" x14ac:dyDescent="0.2">
      <c r="A84" s="101" t="s">
        <v>242</v>
      </c>
      <c r="B84" s="101"/>
      <c r="C84" s="101" t="s">
        <v>243</v>
      </c>
      <c r="D84" s="101" t="s">
        <v>3</v>
      </c>
      <c r="E84" s="105">
        <v>350000000</v>
      </c>
      <c r="F84" s="4" t="s">
        <v>234</v>
      </c>
      <c r="G84" s="2">
        <v>10</v>
      </c>
      <c r="H84" s="12" t="s">
        <v>244</v>
      </c>
      <c r="I84" s="101" t="s">
        <v>245</v>
      </c>
    </row>
    <row r="85" spans="1:12" ht="28.9" customHeight="1" x14ac:dyDescent="0.2">
      <c r="A85" s="101" t="s">
        <v>246</v>
      </c>
      <c r="B85" s="101"/>
      <c r="C85" s="101" t="s">
        <v>255</v>
      </c>
      <c r="D85" s="101" t="s">
        <v>3</v>
      </c>
      <c r="E85" s="105">
        <v>500000000</v>
      </c>
      <c r="F85" s="4" t="s">
        <v>230</v>
      </c>
      <c r="G85" s="2">
        <v>10</v>
      </c>
      <c r="H85" s="101"/>
      <c r="I85" s="12" t="s">
        <v>260</v>
      </c>
    </row>
    <row r="86" spans="1:12" ht="28.9" customHeight="1" x14ac:dyDescent="0.2">
      <c r="A86" s="101" t="s">
        <v>247</v>
      </c>
      <c r="B86" s="101"/>
      <c r="C86" s="101" t="s">
        <v>248</v>
      </c>
      <c r="D86" s="101" t="s">
        <v>3</v>
      </c>
      <c r="E86" s="105">
        <v>20000000</v>
      </c>
      <c r="F86" s="4" t="s">
        <v>249</v>
      </c>
      <c r="G86" s="2">
        <v>10</v>
      </c>
      <c r="H86" s="12" t="s">
        <v>250</v>
      </c>
      <c r="I86" s="101" t="s">
        <v>251</v>
      </c>
    </row>
    <row r="87" spans="1:12" ht="33.75" x14ac:dyDescent="0.2">
      <c r="A87" s="88" t="s">
        <v>257</v>
      </c>
      <c r="B87" s="101"/>
      <c r="C87" s="12" t="s">
        <v>256</v>
      </c>
      <c r="D87" s="101" t="s">
        <v>258</v>
      </c>
      <c r="E87" s="105">
        <v>117000000</v>
      </c>
      <c r="F87" s="4" t="s">
        <v>249</v>
      </c>
      <c r="G87" s="2">
        <v>10</v>
      </c>
      <c r="H87" s="12" t="s">
        <v>259</v>
      </c>
      <c r="I87" s="101" t="s">
        <v>261</v>
      </c>
    </row>
    <row r="88" spans="1:12" ht="29.65" customHeight="1" x14ac:dyDescent="0.2">
      <c r="A88" s="88" t="s">
        <v>262</v>
      </c>
      <c r="B88" s="101"/>
      <c r="C88" s="101" t="s">
        <v>263</v>
      </c>
      <c r="D88" s="101" t="s">
        <v>3</v>
      </c>
      <c r="E88" s="105">
        <v>25700000</v>
      </c>
      <c r="F88" s="4" t="s">
        <v>239</v>
      </c>
      <c r="G88" s="2">
        <v>5</v>
      </c>
      <c r="H88" s="101" t="s">
        <v>264</v>
      </c>
      <c r="I88" s="12" t="s">
        <v>265</v>
      </c>
    </row>
    <row r="89" spans="1:12" x14ac:dyDescent="0.2">
      <c r="A89" s="18"/>
      <c r="B89" s="18"/>
      <c r="C89" s="18"/>
      <c r="D89" s="18"/>
      <c r="E89" s="103"/>
      <c r="F89" s="104"/>
      <c r="G89" s="20"/>
      <c r="H89" s="18"/>
      <c r="I89" s="18"/>
    </row>
    <row r="90" spans="1:12" x14ac:dyDescent="0.2">
      <c r="A90" s="18"/>
      <c r="B90" s="18"/>
      <c r="C90" s="18"/>
      <c r="D90" s="18"/>
      <c r="E90" s="103"/>
      <c r="F90" s="104"/>
      <c r="G90" s="20"/>
      <c r="H90" s="18"/>
      <c r="I90" s="18"/>
    </row>
    <row r="91" spans="1:12" x14ac:dyDescent="0.2">
      <c r="A91" s="18"/>
      <c r="B91" s="18"/>
      <c r="C91" s="18"/>
      <c r="D91" s="18"/>
      <c r="E91" s="103"/>
      <c r="F91" s="104"/>
      <c r="G91" s="20"/>
      <c r="H91" s="18"/>
      <c r="I91" s="18"/>
    </row>
    <row r="92" spans="1:12" x14ac:dyDescent="0.2">
      <c r="A92" s="18"/>
      <c r="B92" s="18"/>
      <c r="C92" s="18"/>
      <c r="D92" s="18"/>
      <c r="E92" s="103"/>
      <c r="F92" s="104"/>
      <c r="G92" s="20"/>
      <c r="H92" s="18"/>
      <c r="I92" s="18"/>
    </row>
    <row r="93" spans="1:12" x14ac:dyDescent="0.2">
      <c r="A93" s="22"/>
      <c r="B93" s="118"/>
      <c r="C93" s="21" t="s">
        <v>149</v>
      </c>
      <c r="D93" s="21"/>
      <c r="E93" s="21"/>
      <c r="F93" s="104"/>
      <c r="G93" s="18"/>
      <c r="H93" s="18"/>
      <c r="I93" s="18"/>
    </row>
    <row r="94" spans="1:12" x14ac:dyDescent="0.2">
      <c r="A94" s="23"/>
      <c r="B94" s="118"/>
      <c r="C94" s="21" t="s">
        <v>150</v>
      </c>
      <c r="D94" s="21"/>
      <c r="E94" s="21"/>
      <c r="F94" s="104"/>
      <c r="G94" s="21"/>
      <c r="H94" s="21"/>
      <c r="I94" s="21"/>
    </row>
    <row r="95" spans="1:12" x14ac:dyDescent="0.2">
      <c r="A95" s="18"/>
      <c r="B95" s="18"/>
      <c r="C95" s="18"/>
      <c r="D95" s="18"/>
      <c r="E95" s="21"/>
      <c r="F95" s="104"/>
      <c r="G95" s="21"/>
      <c r="H95" s="66"/>
      <c r="I95" s="21"/>
    </row>
    <row r="96" spans="1:12" x14ac:dyDescent="0.2">
      <c r="A96" s="18"/>
      <c r="B96" s="18"/>
      <c r="C96" s="18"/>
      <c r="D96" s="18"/>
      <c r="E96" s="21"/>
      <c r="F96" s="18"/>
      <c r="G96" s="18"/>
      <c r="H96" s="66"/>
      <c r="I96" s="18"/>
    </row>
    <row r="97" spans="1:9" x14ac:dyDescent="0.2">
      <c r="A97" s="18"/>
      <c r="B97" s="18"/>
      <c r="C97" s="18"/>
      <c r="D97" s="18"/>
      <c r="E97" s="18"/>
      <c r="F97" s="18"/>
      <c r="G97" s="18"/>
      <c r="H97" s="18"/>
      <c r="I97" s="18"/>
    </row>
    <row r="98" spans="1:9" x14ac:dyDescent="0.2">
      <c r="A98" s="18"/>
      <c r="B98" s="18"/>
      <c r="C98" s="18"/>
      <c r="D98" s="18"/>
      <c r="E98" s="18"/>
      <c r="F98" s="18"/>
      <c r="G98" s="18"/>
      <c r="H98" s="18"/>
      <c r="I98" s="18"/>
    </row>
    <row r="99" spans="1:9" x14ac:dyDescent="0.2">
      <c r="A99" s="18"/>
      <c r="B99" s="18"/>
      <c r="C99" s="18"/>
      <c r="D99" s="18"/>
      <c r="E99" s="18"/>
      <c r="F99" s="18"/>
      <c r="G99" s="18"/>
      <c r="H99" s="18"/>
      <c r="I99" s="18"/>
    </row>
    <row r="100" spans="1:9" x14ac:dyDescent="0.2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x14ac:dyDescent="0.2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 x14ac:dyDescent="0.2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x14ac:dyDescent="0.2">
      <c r="A103" s="18"/>
      <c r="B103" s="18"/>
      <c r="C103" s="18"/>
      <c r="D103" s="18"/>
      <c r="E103" s="18"/>
      <c r="F103" s="18"/>
      <c r="G103" s="18"/>
      <c r="H103" s="18"/>
      <c r="I103" s="18"/>
    </row>
    <row r="104" spans="1:9" x14ac:dyDescent="0.2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x14ac:dyDescent="0.2">
      <c r="A105" s="18"/>
      <c r="B105" s="18"/>
      <c r="C105" s="18"/>
      <c r="D105" s="18"/>
      <c r="E105" s="18"/>
      <c r="F105" s="18"/>
      <c r="G105" s="18"/>
      <c r="H105" s="18"/>
      <c r="I105" s="18"/>
    </row>
    <row r="106" spans="1:9" x14ac:dyDescent="0.2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 x14ac:dyDescent="0.2">
      <c r="A107" s="18"/>
      <c r="B107" s="18"/>
      <c r="C107" s="18"/>
      <c r="D107" s="18"/>
      <c r="E107" s="18"/>
      <c r="F107" s="18"/>
      <c r="G107" s="18"/>
      <c r="H107" s="18"/>
      <c r="I107" s="18"/>
    </row>
    <row r="108" spans="1:9" x14ac:dyDescent="0.2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 x14ac:dyDescent="0.2">
      <c r="A109" s="18"/>
      <c r="B109" s="18"/>
      <c r="C109" s="18"/>
      <c r="D109" s="18"/>
      <c r="E109" s="18"/>
      <c r="F109" s="18"/>
      <c r="G109" s="18"/>
      <c r="H109" s="18"/>
      <c r="I109" s="18"/>
    </row>
    <row r="110" spans="1:9" x14ac:dyDescent="0.2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 x14ac:dyDescent="0.2">
      <c r="A111" s="18"/>
      <c r="B111" s="18"/>
      <c r="C111" s="18"/>
      <c r="D111" s="18"/>
      <c r="E111" s="18"/>
      <c r="F111" s="18"/>
      <c r="G111" s="18"/>
      <c r="H111" s="18"/>
      <c r="I111" s="18"/>
    </row>
    <row r="112" spans="1:9" x14ac:dyDescent="0.2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x14ac:dyDescent="0.2">
      <c r="A113" s="18"/>
      <c r="B113" s="18"/>
      <c r="C113" s="18"/>
      <c r="D113" s="18"/>
      <c r="E113" s="18"/>
      <c r="F113" s="18"/>
      <c r="G113" s="18"/>
      <c r="H113" s="18"/>
      <c r="I113" s="18"/>
    </row>
    <row r="114" spans="1:9" x14ac:dyDescent="0.2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 x14ac:dyDescent="0.2">
      <c r="A115" s="18"/>
      <c r="B115" s="18"/>
      <c r="C115" s="18"/>
      <c r="D115" s="18"/>
      <c r="E115" s="18"/>
      <c r="F115" s="18"/>
      <c r="G115" s="18"/>
      <c r="H115" s="18"/>
      <c r="I115" s="18"/>
    </row>
    <row r="116" spans="1:9" x14ac:dyDescent="0.2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x14ac:dyDescent="0.2">
      <c r="A117" s="18"/>
      <c r="B117" s="18"/>
      <c r="C117" s="18"/>
      <c r="D117" s="18"/>
      <c r="E117" s="18"/>
      <c r="F117" s="18"/>
      <c r="G117" s="18"/>
      <c r="H117" s="18"/>
      <c r="I117" s="18"/>
    </row>
    <row r="118" spans="1:9" x14ac:dyDescent="0.2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 x14ac:dyDescent="0.2">
      <c r="A119" s="18"/>
      <c r="B119" s="18"/>
      <c r="C119" s="18"/>
      <c r="D119" s="18"/>
      <c r="E119" s="18"/>
      <c r="F119" s="18"/>
      <c r="G119" s="18"/>
      <c r="H119" s="18"/>
      <c r="I119" s="18"/>
    </row>
    <row r="120" spans="1:9" x14ac:dyDescent="0.2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 x14ac:dyDescent="0.2">
      <c r="A121" s="18"/>
      <c r="B121" s="18"/>
      <c r="C121" s="18"/>
      <c r="D121" s="18"/>
      <c r="E121" s="18"/>
      <c r="F121" s="18"/>
      <c r="G121" s="18"/>
      <c r="H121" s="18"/>
      <c r="I121" s="18"/>
    </row>
    <row r="122" spans="1:9" x14ac:dyDescent="0.2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 x14ac:dyDescent="0.2">
      <c r="A123" s="18"/>
      <c r="B123" s="18"/>
      <c r="C123" s="18"/>
      <c r="D123" s="18"/>
      <c r="E123" s="18"/>
      <c r="F123" s="18"/>
      <c r="G123" s="18"/>
      <c r="H123" s="18"/>
      <c r="I123" s="18"/>
    </row>
    <row r="124" spans="1:9" x14ac:dyDescent="0.2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 x14ac:dyDescent="0.2">
      <c r="A125" s="18"/>
      <c r="B125" s="18"/>
      <c r="C125" s="18"/>
      <c r="D125" s="18"/>
      <c r="E125" s="18"/>
      <c r="F125" s="18"/>
      <c r="G125" s="18"/>
      <c r="H125" s="18"/>
      <c r="I125" s="18"/>
    </row>
    <row r="126" spans="1:9" x14ac:dyDescent="0.2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 x14ac:dyDescent="0.2">
      <c r="A127" s="18"/>
      <c r="B127" s="18"/>
      <c r="C127" s="18"/>
      <c r="D127" s="18"/>
      <c r="E127" s="18"/>
      <c r="F127" s="18"/>
      <c r="G127" s="18"/>
      <c r="H127" s="18"/>
      <c r="I127" s="18"/>
    </row>
    <row r="128" spans="1:9" x14ac:dyDescent="0.2">
      <c r="A128" s="18"/>
      <c r="B128" s="18"/>
      <c r="C128" s="18"/>
      <c r="D128" s="18"/>
      <c r="E128" s="18"/>
      <c r="F128" s="18"/>
      <c r="G128" s="18"/>
      <c r="H128" s="18"/>
      <c r="I128" s="18"/>
    </row>
  </sheetData>
  <phoneticPr fontId="0" type="noConversion"/>
  <pageMargins left="0.75" right="0.75" top="1" bottom="1" header="0.5" footer="0.5"/>
  <pageSetup paperSize="5" scale="75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opLeftCell="I2" workbookViewId="0">
      <selection activeCell="Q17" sqref="Q17"/>
    </sheetView>
  </sheetViews>
  <sheetFormatPr defaultRowHeight="12.75" x14ac:dyDescent="0.2"/>
  <cols>
    <col min="1" max="1" width="22.7109375" customWidth="1"/>
    <col min="2" max="2" width="21.85546875" customWidth="1"/>
    <col min="3" max="9" width="11.85546875" customWidth="1"/>
    <col min="10" max="13" width="10.85546875" bestFit="1" customWidth="1"/>
    <col min="14" max="14" width="11" customWidth="1"/>
    <col min="16" max="16" width="19.7109375" customWidth="1"/>
  </cols>
  <sheetData>
    <row r="2" spans="1:17" x14ac:dyDescent="0.2">
      <c r="E2" s="114"/>
      <c r="F2" s="114"/>
      <c r="G2" s="114"/>
      <c r="H2" s="114"/>
      <c r="I2" s="139" t="s">
        <v>279</v>
      </c>
      <c r="J2" s="139"/>
      <c r="K2" s="139"/>
      <c r="L2" s="139"/>
      <c r="M2" s="139"/>
      <c r="N2" s="139"/>
      <c r="O2" s="139"/>
      <c r="P2" s="139" t="s">
        <v>280</v>
      </c>
    </row>
    <row r="3" spans="1:17" x14ac:dyDescent="0.2">
      <c r="A3" s="122" t="s">
        <v>94</v>
      </c>
      <c r="B3" s="122" t="s">
        <v>0</v>
      </c>
      <c r="C3" s="123" t="s">
        <v>1</v>
      </c>
      <c r="D3" s="137"/>
      <c r="E3" s="122" t="s">
        <v>275</v>
      </c>
      <c r="F3" s="122" t="s">
        <v>276</v>
      </c>
      <c r="G3" s="122" t="s">
        <v>277</v>
      </c>
      <c r="H3" s="122" t="s">
        <v>278</v>
      </c>
      <c r="I3" s="122" t="s">
        <v>273</v>
      </c>
      <c r="J3" s="122" t="s">
        <v>274</v>
      </c>
      <c r="K3" s="139">
        <v>2015</v>
      </c>
      <c r="L3" s="139">
        <v>2016</v>
      </c>
      <c r="M3" s="139">
        <v>2017</v>
      </c>
      <c r="N3" s="139">
        <v>2018</v>
      </c>
      <c r="O3" s="114"/>
      <c r="P3" s="114"/>
    </row>
    <row r="4" spans="1:17" x14ac:dyDescent="0.2">
      <c r="A4" s="124" t="s">
        <v>193</v>
      </c>
      <c r="B4" s="125" t="s">
        <v>194</v>
      </c>
      <c r="C4" s="126" t="s">
        <v>3</v>
      </c>
      <c r="D4" s="138"/>
      <c r="E4" s="132">
        <f>57000000/100*0.264</f>
        <v>150480</v>
      </c>
      <c r="F4" s="132">
        <f>56000000/100*0.264</f>
        <v>147840</v>
      </c>
      <c r="G4" s="132">
        <f>58800000/100*0.264</f>
        <v>155232</v>
      </c>
      <c r="H4" s="132">
        <f>60000000/100*0.264</f>
        <v>158400</v>
      </c>
      <c r="I4" s="132">
        <f>58790625/100*0.264</f>
        <v>155207.25</v>
      </c>
      <c r="J4" s="145">
        <f>0/100*0.264</f>
        <v>0</v>
      </c>
      <c r="K4" s="145">
        <f>65163728/100*0.264</f>
        <v>172032.24192000003</v>
      </c>
      <c r="L4" s="145">
        <f>65163728/100*0.264</f>
        <v>172032.24192000003</v>
      </c>
      <c r="M4" s="145">
        <f>64936928/100*0.254</f>
        <v>164939.79712</v>
      </c>
      <c r="N4" s="145">
        <f>65409940/100*0.244</f>
        <v>159600.2536</v>
      </c>
      <c r="O4" s="145"/>
      <c r="P4" s="145">
        <f>SUM(E4:O4)</f>
        <v>1435763.7845600001</v>
      </c>
      <c r="Q4" s="86"/>
    </row>
    <row r="5" spans="1:17" ht="22.5" x14ac:dyDescent="0.2">
      <c r="A5" s="124" t="s">
        <v>173</v>
      </c>
      <c r="B5" s="125" t="s">
        <v>174</v>
      </c>
      <c r="C5" s="126" t="s">
        <v>55</v>
      </c>
      <c r="D5" s="138"/>
      <c r="E5" s="132"/>
      <c r="F5" s="132"/>
      <c r="G5" s="132">
        <v>0</v>
      </c>
      <c r="H5" s="132">
        <v>0</v>
      </c>
      <c r="I5" s="132">
        <f>62021477/100*0.264</f>
        <v>163736.69928</v>
      </c>
      <c r="J5" s="145">
        <f>59943657/100*0.264</f>
        <v>158251.25448</v>
      </c>
      <c r="K5" s="145">
        <f>+(44658279+10500000)/100*0.264</f>
        <v>145617.85656000001</v>
      </c>
      <c r="L5" s="145">
        <f>60009040/100*0.264</f>
        <v>158423.86560000002</v>
      </c>
      <c r="M5" s="145">
        <f>+(9603385+46318715)/100*0.254</f>
        <v>142042.13399999999</v>
      </c>
      <c r="N5" s="145">
        <f>+(9260510+46318715)/100*0.244</f>
        <v>135613.30900000001</v>
      </c>
      <c r="O5" s="145"/>
      <c r="P5" s="145">
        <f t="shared" ref="P5:P21" si="0">SUM(E5:O5)</f>
        <v>903685.11892000004</v>
      </c>
      <c r="Q5" s="86"/>
    </row>
    <row r="6" spans="1:17" ht="22.5" x14ac:dyDescent="0.2">
      <c r="A6" s="128" t="s">
        <v>201</v>
      </c>
      <c r="B6" s="125" t="s">
        <v>178</v>
      </c>
      <c r="C6" s="126" t="s">
        <v>55</v>
      </c>
      <c r="D6" s="138"/>
      <c r="E6" s="132"/>
      <c r="F6" s="132"/>
      <c r="G6" s="132"/>
      <c r="H6" s="132">
        <f>76497197/100*0.264</f>
        <v>201952.60008</v>
      </c>
      <c r="I6" s="132">
        <f>82710869/100*0.264</f>
        <v>218356.69415999998</v>
      </c>
      <c r="J6" s="145">
        <f>13895993/100*0.264</f>
        <v>36685.421520000004</v>
      </c>
      <c r="K6" s="144">
        <v>0</v>
      </c>
      <c r="L6" s="145">
        <f>73577179/100*0.264</f>
        <v>194243.75256000002</v>
      </c>
      <c r="M6" s="145">
        <f>73329607/100*0.254</f>
        <v>186257.20178</v>
      </c>
      <c r="N6" s="145">
        <f>73383074/100*0.244</f>
        <v>179054.70056</v>
      </c>
      <c r="O6" s="145"/>
      <c r="P6" s="145">
        <f t="shared" si="0"/>
        <v>1016550.37066</v>
      </c>
      <c r="Q6" s="86"/>
    </row>
    <row r="7" spans="1:17" x14ac:dyDescent="0.2">
      <c r="A7" s="124" t="s">
        <v>200</v>
      </c>
      <c r="B7" s="125" t="s">
        <v>322</v>
      </c>
      <c r="C7" s="126" t="s">
        <v>5</v>
      </c>
      <c r="D7" s="138"/>
      <c r="E7" s="132"/>
      <c r="F7" s="132"/>
      <c r="G7" s="132"/>
      <c r="H7" s="132"/>
      <c r="I7" s="132">
        <f>103409462/100*0.264</f>
        <v>273000.97967999999</v>
      </c>
      <c r="J7" s="145">
        <f>149440621/100*0.264</f>
        <v>394523.23944000003</v>
      </c>
      <c r="K7" s="145">
        <f>145772402/100*0.264</f>
        <v>384839.14128000004</v>
      </c>
      <c r="L7" s="145">
        <f>123632367/100*0.264</f>
        <v>326389.44887999998</v>
      </c>
      <c r="M7" s="145">
        <f>105630401/100*0.254</f>
        <v>268301.21854000003</v>
      </c>
      <c r="N7" s="145">
        <f>86222523/100*0.244</f>
        <v>210382.95611999999</v>
      </c>
      <c r="O7" s="145"/>
      <c r="P7" s="145">
        <f t="shared" si="0"/>
        <v>1857436.9839400002</v>
      </c>
      <c r="Q7" s="86"/>
    </row>
    <row r="8" spans="1:17" ht="22.5" x14ac:dyDescent="0.2">
      <c r="A8" s="129" t="s">
        <v>206</v>
      </c>
      <c r="B8" s="125" t="s">
        <v>323</v>
      </c>
      <c r="C8" s="126" t="s">
        <v>5</v>
      </c>
      <c r="D8" s="138"/>
      <c r="E8" s="132"/>
      <c r="F8" s="132"/>
      <c r="G8" s="132"/>
      <c r="H8" s="132"/>
      <c r="I8" s="132">
        <v>0</v>
      </c>
      <c r="J8" s="145">
        <f>70475781/100*0.264</f>
        <v>186056.06184000001</v>
      </c>
      <c r="K8" s="145">
        <f>87299193/100*0.264</f>
        <v>230469.86952000004</v>
      </c>
      <c r="L8" s="145">
        <f>77686925/100*0.264</f>
        <v>205093.48200000002</v>
      </c>
      <c r="M8" s="145">
        <f>61788810/100*0.254</f>
        <v>156943.57740000001</v>
      </c>
      <c r="N8" s="145">
        <f>48764351/100*0.244</f>
        <v>118985.01644000001</v>
      </c>
      <c r="O8" s="145"/>
      <c r="P8" s="145">
        <f t="shared" si="0"/>
        <v>897548.00720000023</v>
      </c>
      <c r="Q8" s="86"/>
    </row>
    <row r="9" spans="1:17" ht="33.75" x14ac:dyDescent="0.2">
      <c r="A9" s="129" t="s">
        <v>209</v>
      </c>
      <c r="B9" s="125" t="s">
        <v>203</v>
      </c>
      <c r="C9" s="126" t="s">
        <v>3</v>
      </c>
      <c r="D9" s="138"/>
      <c r="E9" s="132"/>
      <c r="F9" s="132"/>
      <c r="G9" s="132"/>
      <c r="H9" s="132"/>
      <c r="I9" s="132">
        <f>21542196/100*0.264</f>
        <v>56871.397440000001</v>
      </c>
      <c r="J9" s="145">
        <f>7828559/100*0.264</f>
        <v>20667.395759999999</v>
      </c>
      <c r="K9" s="145">
        <f>+(19642642+36259733)/100*0.264</f>
        <v>147582.27000000002</v>
      </c>
      <c r="L9" s="145">
        <f>+(23476315+36285138)/100*0.264</f>
        <v>157770.23592000001</v>
      </c>
      <c r="M9" s="145">
        <f>+(23476466+40174712)/100*0.254</f>
        <v>161673.99212000001</v>
      </c>
      <c r="N9" s="145">
        <f>+(26538233+28672500)/100*0.244</f>
        <v>134714.18852</v>
      </c>
      <c r="O9" s="145"/>
      <c r="P9" s="145">
        <f t="shared" si="0"/>
        <v>679279.47976000002</v>
      </c>
      <c r="Q9" s="86"/>
    </row>
    <row r="10" spans="1:17" x14ac:dyDescent="0.2">
      <c r="A10" s="124" t="s">
        <v>214</v>
      </c>
      <c r="B10" s="125" t="s">
        <v>215</v>
      </c>
      <c r="C10" s="126" t="s">
        <v>47</v>
      </c>
      <c r="D10" s="138"/>
      <c r="E10" s="132"/>
      <c r="F10" s="132"/>
      <c r="G10" s="132"/>
      <c r="H10" s="132"/>
      <c r="I10" s="132"/>
      <c r="J10" s="145">
        <f>+(5856985+1768871)/100*0.264</f>
        <v>20132.259839999999</v>
      </c>
      <c r="K10" s="145">
        <f>(6417687+254624)/100*0.264</f>
        <v>17614.901040000001</v>
      </c>
      <c r="L10" s="145">
        <f>2134845/100*0.264</f>
        <v>5635.9908000000005</v>
      </c>
      <c r="M10" s="145">
        <f>+(8883683+1781318)/100*0.254</f>
        <v>27089.10254</v>
      </c>
      <c r="N10" s="145">
        <f>+(10899060+1781318)/100*0.244</f>
        <v>30940.122319999999</v>
      </c>
      <c r="O10" s="145"/>
      <c r="P10" s="145">
        <f t="shared" si="0"/>
        <v>101412.37654</v>
      </c>
      <c r="Q10" s="86"/>
    </row>
    <row r="11" spans="1:17" x14ac:dyDescent="0.2">
      <c r="A11" s="130" t="s">
        <v>219</v>
      </c>
      <c r="B11" s="126" t="s">
        <v>220</v>
      </c>
      <c r="C11" s="126" t="s">
        <v>3</v>
      </c>
      <c r="D11" s="138"/>
      <c r="E11" s="132"/>
      <c r="F11" s="132"/>
      <c r="G11" s="132"/>
      <c r="H11" s="132"/>
      <c r="I11" s="132"/>
      <c r="J11" s="145"/>
      <c r="K11" s="145">
        <v>0</v>
      </c>
      <c r="L11" s="145">
        <v>0</v>
      </c>
      <c r="M11" s="145">
        <v>0</v>
      </c>
      <c r="N11" s="145">
        <v>0</v>
      </c>
      <c r="O11" s="145"/>
      <c r="P11" s="145">
        <f t="shared" si="0"/>
        <v>0</v>
      </c>
      <c r="Q11" s="86"/>
    </row>
    <row r="12" spans="1:17" x14ac:dyDescent="0.2">
      <c r="A12" s="129" t="s">
        <v>224</v>
      </c>
      <c r="B12" s="130" t="s">
        <v>270</v>
      </c>
      <c r="C12" s="126" t="s">
        <v>5</v>
      </c>
      <c r="D12" s="138"/>
      <c r="E12" s="132"/>
      <c r="F12" s="132"/>
      <c r="G12" s="132"/>
      <c r="H12" s="132"/>
      <c r="I12" s="132"/>
      <c r="J12" s="145"/>
      <c r="K12" s="145"/>
      <c r="L12" s="145"/>
      <c r="M12" s="145"/>
      <c r="N12" s="145"/>
      <c r="O12" s="145"/>
      <c r="P12" s="145">
        <f t="shared" si="0"/>
        <v>0</v>
      </c>
      <c r="Q12" s="86"/>
    </row>
    <row r="13" spans="1:17" x14ac:dyDescent="0.2">
      <c r="A13" s="129" t="s">
        <v>229</v>
      </c>
      <c r="B13" s="130" t="s">
        <v>255</v>
      </c>
      <c r="C13" s="130" t="s">
        <v>3</v>
      </c>
      <c r="D13" s="118"/>
      <c r="E13" s="140"/>
      <c r="F13" s="140"/>
      <c r="G13" s="140"/>
      <c r="H13" s="140"/>
      <c r="I13" s="140"/>
      <c r="J13" s="145"/>
      <c r="K13" s="145"/>
      <c r="L13" s="145"/>
      <c r="M13" s="145"/>
      <c r="N13" s="145">
        <f>631033906/100*0.244</f>
        <v>1539722.73064</v>
      </c>
      <c r="O13" s="145"/>
      <c r="P13" s="145">
        <f t="shared" si="0"/>
        <v>1539722.73064</v>
      </c>
      <c r="Q13" s="86"/>
    </row>
    <row r="14" spans="1:17" x14ac:dyDescent="0.2">
      <c r="A14" s="130" t="s">
        <v>232</v>
      </c>
      <c r="B14" s="130" t="s">
        <v>324</v>
      </c>
      <c r="C14" s="130" t="s">
        <v>5</v>
      </c>
      <c r="D14" s="118"/>
      <c r="E14" s="140"/>
      <c r="F14" s="140"/>
      <c r="G14" s="140"/>
      <c r="H14" s="140"/>
      <c r="I14" s="140"/>
      <c r="J14" s="145"/>
      <c r="K14" s="145"/>
      <c r="L14" s="145"/>
      <c r="M14" s="145">
        <f>8975576/100*0.254</f>
        <v>22797.963039999999</v>
      </c>
      <c r="N14" s="145">
        <f>(42300300+114326873)/100*0.244</f>
        <v>382170.30212000001</v>
      </c>
      <c r="O14" s="145"/>
      <c r="P14" s="145">
        <f t="shared" si="0"/>
        <v>404968.26516000001</v>
      </c>
      <c r="Q14" s="86"/>
    </row>
    <row r="15" spans="1:17" x14ac:dyDescent="0.2">
      <c r="A15" s="130" t="s">
        <v>237</v>
      </c>
      <c r="B15" s="130" t="s">
        <v>238</v>
      </c>
      <c r="C15" s="130" t="s">
        <v>3</v>
      </c>
      <c r="D15" s="118"/>
      <c r="E15" s="140"/>
      <c r="F15" s="140"/>
      <c r="G15" s="140"/>
      <c r="H15" s="140"/>
      <c r="I15" s="140"/>
      <c r="J15" s="145"/>
      <c r="K15" s="145"/>
      <c r="L15" s="145"/>
      <c r="M15" s="145">
        <f>15571782/100*0.254</f>
        <v>39552.326280000001</v>
      </c>
      <c r="N15" s="145">
        <f>25231206/100*0.244</f>
        <v>61564.142639999998</v>
      </c>
      <c r="O15" s="145"/>
      <c r="P15" s="145">
        <f t="shared" si="0"/>
        <v>101116.46892</v>
      </c>
      <c r="Q15" s="86"/>
    </row>
    <row r="16" spans="1:17" ht="22.5" x14ac:dyDescent="0.2">
      <c r="A16" s="135" t="s">
        <v>267</v>
      </c>
      <c r="B16" s="130" t="s">
        <v>243</v>
      </c>
      <c r="C16" s="130" t="s">
        <v>3</v>
      </c>
      <c r="D16" s="118"/>
      <c r="E16" s="140"/>
      <c r="F16" s="140"/>
      <c r="G16" s="140"/>
      <c r="H16" s="140"/>
      <c r="I16" s="140"/>
      <c r="J16" s="145"/>
      <c r="K16" s="145"/>
      <c r="L16" s="145"/>
      <c r="M16" s="145"/>
      <c r="N16" s="145"/>
      <c r="O16" s="145"/>
      <c r="P16" s="145">
        <f t="shared" si="0"/>
        <v>0</v>
      </c>
      <c r="Q16" s="86"/>
    </row>
    <row r="17" spans="1:17" x14ac:dyDescent="0.2">
      <c r="A17" s="130" t="s">
        <v>246</v>
      </c>
      <c r="B17" s="130" t="s">
        <v>255</v>
      </c>
      <c r="C17" s="130" t="s">
        <v>3</v>
      </c>
      <c r="D17" s="118"/>
      <c r="E17" s="140"/>
      <c r="F17" s="140"/>
      <c r="G17" s="140"/>
      <c r="H17" s="140"/>
      <c r="I17" s="140"/>
      <c r="J17" s="145"/>
      <c r="K17" s="145"/>
      <c r="L17" s="145"/>
      <c r="M17" s="145"/>
      <c r="N17" s="145"/>
      <c r="O17" s="145"/>
      <c r="P17" s="145">
        <f t="shared" si="0"/>
        <v>0</v>
      </c>
      <c r="Q17" s="86"/>
    </row>
    <row r="18" spans="1:17" x14ac:dyDescent="0.2">
      <c r="A18" s="130" t="s">
        <v>247</v>
      </c>
      <c r="B18" s="130" t="s">
        <v>248</v>
      </c>
      <c r="C18" s="130" t="s">
        <v>3</v>
      </c>
      <c r="D18" s="118"/>
      <c r="E18" s="140"/>
      <c r="F18" s="140"/>
      <c r="G18" s="140"/>
      <c r="H18" s="140"/>
      <c r="I18" s="140"/>
      <c r="J18" s="145"/>
      <c r="K18" s="145"/>
      <c r="L18" s="145"/>
      <c r="M18" s="145"/>
      <c r="N18" s="145"/>
      <c r="O18" s="145"/>
      <c r="P18" s="145">
        <f t="shared" si="0"/>
        <v>0</v>
      </c>
      <c r="Q18" s="86"/>
    </row>
    <row r="19" spans="1:17" ht="22.5" x14ac:dyDescent="0.2">
      <c r="A19" s="129" t="s">
        <v>257</v>
      </c>
      <c r="B19" s="135" t="s">
        <v>256</v>
      </c>
      <c r="C19" s="130" t="s">
        <v>258</v>
      </c>
      <c r="D19" s="118"/>
      <c r="E19" s="140"/>
      <c r="F19" s="140"/>
      <c r="G19" s="140"/>
      <c r="H19" s="140"/>
      <c r="I19" s="140"/>
      <c r="J19" s="145"/>
      <c r="K19" s="145"/>
      <c r="L19" s="145"/>
      <c r="M19" s="145"/>
      <c r="N19" s="145"/>
      <c r="O19" s="145"/>
      <c r="P19" s="145">
        <f t="shared" si="0"/>
        <v>0</v>
      </c>
      <c r="Q19" s="86"/>
    </row>
    <row r="20" spans="1:17" x14ac:dyDescent="0.2">
      <c r="A20" s="129" t="s">
        <v>262</v>
      </c>
      <c r="B20" s="130" t="s">
        <v>263</v>
      </c>
      <c r="C20" s="130" t="s">
        <v>3</v>
      </c>
      <c r="D20" s="118"/>
      <c r="E20" s="140"/>
      <c r="F20" s="140"/>
      <c r="G20" s="140"/>
      <c r="H20" s="140"/>
      <c r="I20" s="140"/>
      <c r="J20" s="145"/>
      <c r="K20" s="145"/>
      <c r="L20" s="145"/>
      <c r="M20" s="145"/>
      <c r="N20" s="145"/>
      <c r="O20" s="145"/>
      <c r="P20" s="145">
        <f t="shared" si="0"/>
        <v>0</v>
      </c>
      <c r="Q20" s="86"/>
    </row>
    <row r="21" spans="1:17" x14ac:dyDescent="0.2">
      <c r="A21" s="129" t="s">
        <v>268</v>
      </c>
      <c r="B21" s="130" t="s">
        <v>269</v>
      </c>
      <c r="C21" s="126" t="s">
        <v>5</v>
      </c>
      <c r="D21" s="138"/>
      <c r="E21" s="132"/>
      <c r="F21" s="132"/>
      <c r="G21" s="132"/>
      <c r="H21" s="132"/>
      <c r="I21" s="132"/>
      <c r="J21" s="145"/>
      <c r="K21" s="145"/>
      <c r="L21" s="145"/>
      <c r="M21" s="145"/>
      <c r="N21" s="145"/>
      <c r="O21" s="145"/>
      <c r="P21" s="145">
        <f t="shared" si="0"/>
        <v>0</v>
      </c>
      <c r="Q21" s="86"/>
    </row>
    <row r="23" spans="1:17" x14ac:dyDescent="0.2">
      <c r="D23" s="141" t="s">
        <v>281</v>
      </c>
      <c r="E23" s="141">
        <v>0.26400000000000001</v>
      </c>
      <c r="F23">
        <v>0.26400000000000001</v>
      </c>
      <c r="G23">
        <v>0.26400000000000001</v>
      </c>
      <c r="H23">
        <v>0.26400000000000001</v>
      </c>
      <c r="I23">
        <v>0.26400000000000001</v>
      </c>
      <c r="J23">
        <v>0.26400000000000001</v>
      </c>
      <c r="K23">
        <v>0.26400000000000001</v>
      </c>
      <c r="L23">
        <v>0.26400000000000001</v>
      </c>
      <c r="M23">
        <v>0.254</v>
      </c>
      <c r="N23">
        <v>0.24399999999999999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G3" sqref="G3"/>
    </sheetView>
  </sheetViews>
  <sheetFormatPr defaultRowHeight="12.75" x14ac:dyDescent="0.2"/>
  <cols>
    <col min="1" max="1" width="14.28515625" customWidth="1"/>
    <col min="2" max="2" width="7.85546875" customWidth="1"/>
    <col min="3" max="3" width="18.5703125" customWidth="1"/>
    <col min="4" max="4" width="11.28515625" customWidth="1"/>
    <col min="5" max="5" width="18.28515625" customWidth="1"/>
    <col min="6" max="6" width="15.28515625" customWidth="1"/>
    <col min="7" max="7" width="11.7109375" customWidth="1"/>
    <col min="8" max="8" width="14.7109375" customWidth="1"/>
    <col min="9" max="9" width="15.42578125" customWidth="1"/>
    <col min="10" max="10" width="12" customWidth="1"/>
    <col min="11" max="11" width="14.42578125" customWidth="1"/>
  </cols>
  <sheetData>
    <row r="1" spans="1:11" ht="20.25" x14ac:dyDescent="0.3">
      <c r="B1" s="120"/>
      <c r="E1" s="119" t="s">
        <v>22</v>
      </c>
    </row>
    <row r="2" spans="1:11" ht="20.25" x14ac:dyDescent="0.3">
      <c r="B2" s="120"/>
      <c r="E2" s="119" t="s">
        <v>266</v>
      </c>
    </row>
    <row r="3" spans="1:11" ht="20.25" x14ac:dyDescent="0.3">
      <c r="B3" s="120"/>
      <c r="E3" s="121" t="s">
        <v>302</v>
      </c>
    </row>
    <row r="4" spans="1:11" ht="14.45" customHeight="1" x14ac:dyDescent="0.3">
      <c r="B4" s="120"/>
      <c r="E4" s="119"/>
    </row>
    <row r="5" spans="1:11" ht="31.5" customHeight="1" x14ac:dyDescent="0.2">
      <c r="A5" s="147" t="s">
        <v>94</v>
      </c>
      <c r="B5" s="148" t="s">
        <v>254</v>
      </c>
      <c r="C5" s="147" t="s">
        <v>0</v>
      </c>
      <c r="D5" s="149" t="s">
        <v>1</v>
      </c>
      <c r="E5" s="148" t="s">
        <v>253</v>
      </c>
      <c r="F5" s="148" t="s">
        <v>284</v>
      </c>
      <c r="G5" s="150" t="s">
        <v>2</v>
      </c>
      <c r="H5" s="148" t="s">
        <v>70</v>
      </c>
      <c r="I5" s="148" t="s">
        <v>127</v>
      </c>
      <c r="J5" s="148" t="s">
        <v>271</v>
      </c>
      <c r="K5" s="148" t="s">
        <v>272</v>
      </c>
    </row>
    <row r="6" spans="1:11" ht="33.75" x14ac:dyDescent="0.2">
      <c r="A6" s="124" t="s">
        <v>173</v>
      </c>
      <c r="B6" s="151">
        <v>100791</v>
      </c>
      <c r="C6" s="125" t="s">
        <v>174</v>
      </c>
      <c r="D6" s="126" t="s">
        <v>55</v>
      </c>
      <c r="E6" s="127">
        <v>100000000</v>
      </c>
      <c r="F6" s="146">
        <v>0.75</v>
      </c>
      <c r="G6" s="126">
        <v>10</v>
      </c>
      <c r="H6" s="125" t="s">
        <v>175</v>
      </c>
      <c r="I6" s="125" t="s">
        <v>176</v>
      </c>
      <c r="J6" s="142">
        <v>40909</v>
      </c>
      <c r="K6" s="145">
        <f>Sheet2!P5</f>
        <v>903685.11892000004</v>
      </c>
    </row>
    <row r="7" spans="1:11" ht="45" x14ac:dyDescent="0.2">
      <c r="A7" s="128" t="s">
        <v>201</v>
      </c>
      <c r="B7" s="151">
        <v>102918</v>
      </c>
      <c r="C7" s="125" t="s">
        <v>178</v>
      </c>
      <c r="D7" s="126" t="s">
        <v>55</v>
      </c>
      <c r="E7" s="127">
        <v>175000000</v>
      </c>
      <c r="F7" s="146">
        <v>0.65</v>
      </c>
      <c r="G7" s="126">
        <v>10</v>
      </c>
      <c r="H7" s="125" t="s">
        <v>289</v>
      </c>
      <c r="I7" s="125" t="s">
        <v>303</v>
      </c>
      <c r="J7" s="142">
        <v>40909</v>
      </c>
      <c r="K7" s="145">
        <f>Sheet2!P6</f>
        <v>1016550.37066</v>
      </c>
    </row>
    <row r="8" spans="1:11" ht="67.5" hidden="1" x14ac:dyDescent="0.2">
      <c r="A8" s="124" t="s">
        <v>200</v>
      </c>
      <c r="B8" s="124"/>
      <c r="C8" s="125" t="s">
        <v>198</v>
      </c>
      <c r="D8" s="126" t="s">
        <v>5</v>
      </c>
      <c r="E8" s="127">
        <v>254000000</v>
      </c>
      <c r="F8" s="125" t="s">
        <v>212</v>
      </c>
      <c r="G8" s="126">
        <v>7</v>
      </c>
      <c r="H8" s="125" t="s">
        <v>207</v>
      </c>
      <c r="I8" s="125" t="s">
        <v>199</v>
      </c>
      <c r="J8" s="142">
        <v>41275</v>
      </c>
      <c r="K8" s="145"/>
    </row>
    <row r="9" spans="1:11" ht="40.15" customHeight="1" x14ac:dyDescent="0.2">
      <c r="A9" s="124" t="s">
        <v>200</v>
      </c>
      <c r="B9" s="151">
        <v>110422</v>
      </c>
      <c r="C9" s="125" t="s">
        <v>198</v>
      </c>
      <c r="D9" s="126" t="s">
        <v>5</v>
      </c>
      <c r="E9" s="127">
        <v>254000000</v>
      </c>
      <c r="F9" s="125" t="s">
        <v>317</v>
      </c>
      <c r="G9" s="126">
        <v>7</v>
      </c>
      <c r="H9" s="125" t="s">
        <v>318</v>
      </c>
      <c r="I9" s="125" t="s">
        <v>319</v>
      </c>
      <c r="J9" s="142">
        <v>40909</v>
      </c>
      <c r="K9" s="145">
        <f>+Sheet2!P7</f>
        <v>1857436.9839400002</v>
      </c>
    </row>
    <row r="10" spans="1:11" ht="39" customHeight="1" x14ac:dyDescent="0.2">
      <c r="A10" s="129" t="s">
        <v>206</v>
      </c>
      <c r="B10" s="151">
        <v>111921</v>
      </c>
      <c r="C10" s="125" t="s">
        <v>202</v>
      </c>
      <c r="D10" s="126" t="s">
        <v>5</v>
      </c>
      <c r="E10" s="127">
        <v>200000000</v>
      </c>
      <c r="F10" s="146">
        <v>0.7</v>
      </c>
      <c r="G10" s="126">
        <v>10</v>
      </c>
      <c r="H10" s="125" t="s">
        <v>290</v>
      </c>
      <c r="I10" s="125" t="s">
        <v>304</v>
      </c>
      <c r="J10" s="142">
        <v>41640</v>
      </c>
      <c r="K10" s="145">
        <f>+Sheet2!P8</f>
        <v>897548.00720000023</v>
      </c>
    </row>
    <row r="11" spans="1:11" ht="45" x14ac:dyDescent="0.2">
      <c r="A11" s="129" t="s">
        <v>209</v>
      </c>
      <c r="B11" s="151">
        <v>116759</v>
      </c>
      <c r="C11" s="125" t="s">
        <v>203</v>
      </c>
      <c r="D11" s="126" t="s">
        <v>3</v>
      </c>
      <c r="E11" s="127">
        <v>235000000</v>
      </c>
      <c r="F11" s="146">
        <v>0.7</v>
      </c>
      <c r="G11" s="126">
        <v>10</v>
      </c>
      <c r="H11" s="125" t="s">
        <v>291</v>
      </c>
      <c r="I11" s="125" t="s">
        <v>306</v>
      </c>
      <c r="J11" s="142">
        <v>41275</v>
      </c>
      <c r="K11" s="145">
        <f>Sheet2!P9</f>
        <v>679279.47976000002</v>
      </c>
    </row>
    <row r="12" spans="1:11" ht="27.4" customHeight="1" x14ac:dyDescent="0.2">
      <c r="A12" s="124" t="s">
        <v>214</v>
      </c>
      <c r="B12" s="151">
        <v>116844</v>
      </c>
      <c r="C12" s="125" t="s">
        <v>316</v>
      </c>
      <c r="D12" s="126" t="s">
        <v>47</v>
      </c>
      <c r="E12" s="127">
        <v>38000000</v>
      </c>
      <c r="F12" s="146">
        <v>0.4</v>
      </c>
      <c r="G12" s="126">
        <v>5</v>
      </c>
      <c r="H12" s="125" t="s">
        <v>292</v>
      </c>
      <c r="I12" s="125" t="s">
        <v>307</v>
      </c>
      <c r="J12" s="142">
        <v>41640</v>
      </c>
      <c r="K12" s="145">
        <f>Sheet2!P10</f>
        <v>101412.37654</v>
      </c>
    </row>
    <row r="13" spans="1:11" ht="30" customHeight="1" x14ac:dyDescent="0.2">
      <c r="A13" s="130" t="s">
        <v>219</v>
      </c>
      <c r="B13" s="151">
        <v>117891</v>
      </c>
      <c r="C13" s="126" t="s">
        <v>220</v>
      </c>
      <c r="D13" s="126" t="s">
        <v>3</v>
      </c>
      <c r="E13" s="131">
        <v>45000000</v>
      </c>
      <c r="F13" s="146">
        <v>0.5</v>
      </c>
      <c r="G13" s="126">
        <v>10</v>
      </c>
      <c r="H13" s="125" t="s">
        <v>293</v>
      </c>
      <c r="I13" s="126" t="s">
        <v>305</v>
      </c>
      <c r="J13" s="142">
        <v>42005</v>
      </c>
      <c r="K13" s="145">
        <f>+Sheet2!P11</f>
        <v>0</v>
      </c>
    </row>
    <row r="14" spans="1:11" ht="30" customHeight="1" x14ac:dyDescent="0.2">
      <c r="A14" s="129" t="s">
        <v>224</v>
      </c>
      <c r="B14" s="151">
        <v>119739</v>
      </c>
      <c r="C14" s="130" t="s">
        <v>270</v>
      </c>
      <c r="D14" s="126" t="s">
        <v>5</v>
      </c>
      <c r="E14" s="132">
        <v>37000000</v>
      </c>
      <c r="F14" s="125" t="s">
        <v>285</v>
      </c>
      <c r="G14" s="126">
        <v>10</v>
      </c>
      <c r="H14" s="133" t="s">
        <v>294</v>
      </c>
      <c r="I14" s="130" t="s">
        <v>308</v>
      </c>
      <c r="J14" s="142">
        <v>43466</v>
      </c>
      <c r="K14" s="145">
        <v>0</v>
      </c>
    </row>
    <row r="15" spans="1:11" ht="43.9" customHeight="1" x14ac:dyDescent="0.2">
      <c r="A15" s="129" t="s">
        <v>229</v>
      </c>
      <c r="B15" s="151">
        <v>120124</v>
      </c>
      <c r="C15" s="130" t="s">
        <v>255</v>
      </c>
      <c r="D15" s="130" t="s">
        <v>3</v>
      </c>
      <c r="E15" s="132">
        <v>750000000</v>
      </c>
      <c r="F15" s="125" t="s">
        <v>286</v>
      </c>
      <c r="G15" s="126">
        <v>10</v>
      </c>
      <c r="H15" s="135" t="s">
        <v>320</v>
      </c>
      <c r="I15" s="125" t="s">
        <v>231</v>
      </c>
      <c r="J15" s="142">
        <v>43101</v>
      </c>
      <c r="K15" s="145">
        <f>+Sheet2!P13</f>
        <v>1539722.73064</v>
      </c>
    </row>
    <row r="16" spans="1:11" ht="42" customHeight="1" x14ac:dyDescent="0.2">
      <c r="A16" s="130" t="s">
        <v>232</v>
      </c>
      <c r="B16" s="151">
        <v>120424</v>
      </c>
      <c r="C16" s="130" t="s">
        <v>233</v>
      </c>
      <c r="D16" s="130" t="s">
        <v>5</v>
      </c>
      <c r="E16" s="132">
        <v>1200000000</v>
      </c>
      <c r="F16" s="146">
        <v>0.7</v>
      </c>
      <c r="G16" s="126">
        <v>10</v>
      </c>
      <c r="H16" s="134" t="s">
        <v>295</v>
      </c>
      <c r="I16" s="135" t="s">
        <v>309</v>
      </c>
      <c r="J16" s="4" t="s">
        <v>282</v>
      </c>
      <c r="K16" s="145">
        <f>+Sheet2!P14</f>
        <v>404968.26516000001</v>
      </c>
    </row>
    <row r="17" spans="1:11" ht="34.9" customHeight="1" x14ac:dyDescent="0.2">
      <c r="A17" s="130" t="s">
        <v>237</v>
      </c>
      <c r="B17" s="151">
        <v>121683</v>
      </c>
      <c r="C17" s="130" t="s">
        <v>238</v>
      </c>
      <c r="D17" s="130" t="s">
        <v>3</v>
      </c>
      <c r="E17" s="132">
        <v>55000000</v>
      </c>
      <c r="F17" s="146">
        <v>0.5</v>
      </c>
      <c r="G17" s="126">
        <v>10</v>
      </c>
      <c r="H17" s="135" t="s">
        <v>296</v>
      </c>
      <c r="I17" s="136" t="s">
        <v>310</v>
      </c>
      <c r="J17" s="142">
        <v>42736</v>
      </c>
      <c r="K17" s="145">
        <f>+Sheet2!P15</f>
        <v>101116.46892</v>
      </c>
    </row>
    <row r="18" spans="1:11" ht="28.9" customHeight="1" x14ac:dyDescent="0.2">
      <c r="A18" s="135" t="s">
        <v>267</v>
      </c>
      <c r="B18" s="151">
        <v>122868</v>
      </c>
      <c r="C18" s="130" t="s">
        <v>243</v>
      </c>
      <c r="D18" s="130" t="s">
        <v>3</v>
      </c>
      <c r="E18" s="132">
        <v>350000000</v>
      </c>
      <c r="F18" s="146">
        <v>0.7</v>
      </c>
      <c r="G18" s="126">
        <v>10</v>
      </c>
      <c r="H18" s="135" t="s">
        <v>297</v>
      </c>
      <c r="I18" s="130" t="s">
        <v>311</v>
      </c>
      <c r="J18" s="142">
        <v>43831</v>
      </c>
      <c r="K18" s="145">
        <v>0</v>
      </c>
    </row>
    <row r="19" spans="1:11" ht="44.65" customHeight="1" x14ac:dyDescent="0.2">
      <c r="A19" s="130" t="s">
        <v>246</v>
      </c>
      <c r="B19" s="151">
        <v>123805</v>
      </c>
      <c r="C19" s="130" t="s">
        <v>255</v>
      </c>
      <c r="D19" s="130" t="s">
        <v>3</v>
      </c>
      <c r="E19" s="132">
        <v>500000000</v>
      </c>
      <c r="F19" s="125" t="s">
        <v>287</v>
      </c>
      <c r="G19" s="126">
        <v>10</v>
      </c>
      <c r="H19" s="135" t="s">
        <v>320</v>
      </c>
      <c r="I19" s="135" t="s">
        <v>321</v>
      </c>
      <c r="J19" s="143" t="s">
        <v>283</v>
      </c>
      <c r="K19" s="145">
        <v>0</v>
      </c>
    </row>
    <row r="20" spans="1:11" ht="25.9" customHeight="1" x14ac:dyDescent="0.2">
      <c r="A20" s="130" t="s">
        <v>247</v>
      </c>
      <c r="B20" s="151">
        <v>124584</v>
      </c>
      <c r="C20" s="130" t="s">
        <v>248</v>
      </c>
      <c r="D20" s="130" t="s">
        <v>3</v>
      </c>
      <c r="E20" s="132">
        <v>20000000</v>
      </c>
      <c r="F20" s="146">
        <v>0.5</v>
      </c>
      <c r="G20" s="126">
        <v>10</v>
      </c>
      <c r="H20" s="135" t="s">
        <v>298</v>
      </c>
      <c r="I20" s="130" t="s">
        <v>312</v>
      </c>
      <c r="J20" s="142">
        <v>43831</v>
      </c>
      <c r="K20" s="145">
        <v>0</v>
      </c>
    </row>
    <row r="21" spans="1:11" ht="26.65" customHeight="1" x14ac:dyDescent="0.2">
      <c r="A21" s="129" t="s">
        <v>257</v>
      </c>
      <c r="B21" s="151">
        <v>127040</v>
      </c>
      <c r="C21" s="135" t="s">
        <v>256</v>
      </c>
      <c r="D21" s="130" t="s">
        <v>258</v>
      </c>
      <c r="E21" s="132">
        <v>117000000</v>
      </c>
      <c r="F21" s="146">
        <v>0.5</v>
      </c>
      <c r="G21" s="126">
        <v>10</v>
      </c>
      <c r="H21" s="135" t="s">
        <v>299</v>
      </c>
      <c r="I21" s="130" t="s">
        <v>313</v>
      </c>
      <c r="J21" s="142">
        <v>43831</v>
      </c>
      <c r="K21" s="145">
        <v>0</v>
      </c>
    </row>
    <row r="22" spans="1:11" ht="35.65" customHeight="1" x14ac:dyDescent="0.2">
      <c r="A22" s="129" t="s">
        <v>262</v>
      </c>
      <c r="B22" s="151">
        <v>127260</v>
      </c>
      <c r="C22" s="130" t="s">
        <v>263</v>
      </c>
      <c r="D22" s="130" t="s">
        <v>3</v>
      </c>
      <c r="E22" s="132">
        <v>25700000</v>
      </c>
      <c r="F22" s="146">
        <v>0.5</v>
      </c>
      <c r="G22" s="126">
        <v>5</v>
      </c>
      <c r="H22" s="135" t="s">
        <v>300</v>
      </c>
      <c r="I22" s="135" t="s">
        <v>314</v>
      </c>
      <c r="J22" s="142">
        <v>43466</v>
      </c>
      <c r="K22" s="145">
        <v>0</v>
      </c>
    </row>
    <row r="23" spans="1:11" ht="31.15" customHeight="1" x14ac:dyDescent="0.2">
      <c r="A23" s="129" t="s">
        <v>268</v>
      </c>
      <c r="B23" s="151">
        <v>119739</v>
      </c>
      <c r="C23" s="130" t="s">
        <v>269</v>
      </c>
      <c r="D23" s="126" t="s">
        <v>5</v>
      </c>
      <c r="E23" s="132">
        <v>35000000</v>
      </c>
      <c r="F23" s="125" t="s">
        <v>288</v>
      </c>
      <c r="G23" s="126">
        <v>10</v>
      </c>
      <c r="H23" s="133" t="s">
        <v>301</v>
      </c>
      <c r="I23" s="130" t="s">
        <v>315</v>
      </c>
      <c r="J23" s="142">
        <v>44197</v>
      </c>
      <c r="K23" s="145">
        <v>0</v>
      </c>
    </row>
  </sheetData>
  <phoneticPr fontId="0" type="noConversion"/>
  <hyperlinks>
    <hyperlink ref="B6" r:id="rId1" display="http://www.tarrantcounty.com/content/dam/main/administration/Court-Order-Documents/FidelityExpansion.pdf"/>
    <hyperlink ref="B7" r:id="rId2" display="http://www.tarrantcounty.com/content/dam/main/administration/Court-Order-Documents/Deloitte.pdf"/>
    <hyperlink ref="B9" r:id="rId3" display="http://www.tarrantcounty.com/content/dam/main/administration/Court-Order-Documents/GeneralMotorsRetooling.pdf"/>
    <hyperlink ref="B10" r:id="rId4" display="http://www.tarrantcounty.com/content/dam/main/administration/Court-Order-Documents/GeneralMotorsStamping.pdf"/>
    <hyperlink ref="B11" r:id="rId5" display="http://www.tarrantcounty.com/content/dam/main/administration/Court-Order-Documents/BellHelicopterHQ.pdf"/>
    <hyperlink ref="B12" r:id="rId6" display="http://www.tarrantcounty.com/content/dam/main/administration/Court-Order-Documents/HorizonMilling.pdf"/>
    <hyperlink ref="B13" r:id="rId7" display="http://www.tarrantcounty.com/content/dam/main/administration/Court-Order-Documents/CarolinaBeverage.pdf"/>
    <hyperlink ref="B14" r:id="rId8" display="http://www.tarrantcounty.com/content/dam/main/administration/Court-Order-Documents/ArlingtonCommonsPh1.pdf"/>
    <hyperlink ref="B15" r:id="rId9" display="http://www.tarrantcounty.com/content/dam/main/administration/Court-Order-Documents/WinnerLLCFirstAgreement.pdf"/>
    <hyperlink ref="B19" r:id="rId10" display="http://www.tarrantcounty.com/content/dam/main/administration/Court-Order-Documents/WinnerLLC2ndAgreement.pdf"/>
    <hyperlink ref="B22" r:id="rId11" display="http://www.tarrantcounty.com/content/dam/main/administration/Court-Order-Documents/SmithNephew.pdf"/>
    <hyperlink ref="B20" r:id="rId12" display="http://www.tarrantcounty.com/content/dam/main/administration/Court-Order-Documents/RaceStreet.pdf"/>
    <hyperlink ref="B17" r:id="rId13" display="http://www.tarrantcounty.com/content/dam/main/administration/Court-Order-Documents/AmericanAirlinesIOC.pdf"/>
    <hyperlink ref="B21" r:id="rId14" display="http://www.tarrantcounty.com/content/dam/main/administration/Court-Order-Documents/ATAC.pdf"/>
    <hyperlink ref="B18" r:id="rId15" display="http://www.tarrantcounty.com/content/dam/main/administration/Court-Order-Documents/AmericanAirlinesHQ.pdf"/>
    <hyperlink ref="B23" r:id="rId16" display="http://www.tarrantcounty.com/content/dam/main/administration/Court-Order-Documents/ArlingtonCommonsPh1.pdf"/>
    <hyperlink ref="B16" r:id="rId17" display="http://www.tarrantcounty.com/content/dam/main/administration/Court-Order-Documents/GeneralMotorsExpansion.pdf"/>
  </hyperlinks>
  <pageMargins left="0.75" right="0.75" top="1" bottom="1" header="0.5" footer="0.5"/>
  <pageSetup scale="71" fitToHeight="0" orientation="portrait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Sheet3!Print_Area</vt:lpstr>
      <vt:lpstr>Sheet1!Print_Titles</vt:lpstr>
    </vt:vector>
  </TitlesOfParts>
  <Company>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</dc:creator>
  <cp:lastModifiedBy>Srilakshmi Mukka</cp:lastModifiedBy>
  <cp:lastPrinted>2018-12-18T18:26:07Z</cp:lastPrinted>
  <dcterms:created xsi:type="dcterms:W3CDTF">1999-03-29T21:11:04Z</dcterms:created>
  <dcterms:modified xsi:type="dcterms:W3CDTF">2019-10-23T20:13:47Z</dcterms:modified>
</cp:coreProperties>
</file>